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nckeunternehmensgruppe-my.sharepoint.com/personal/muehlhausen_nonne_de/Documents/Dokumente/Topserv/2023/"/>
    </mc:Choice>
  </mc:AlternateContent>
  <xr:revisionPtr revIDLastSave="903" documentId="8_{B1EB4C11-2E87-45E4-9650-13CD831E5B0E}" xr6:coauthVersionLast="47" xr6:coauthVersionMax="47" xr10:uidLastSave="{3DAABB65-4528-4CCA-970C-25318A25DA86}"/>
  <bookViews>
    <workbookView xWindow="28680" yWindow="-120" windowWidth="29040" windowHeight="16440" activeTab="2" xr2:uid="{31E62CE1-3113-4E87-BD79-7D670C58CA36}"/>
  </bookViews>
  <sheets>
    <sheet name="Emissionsfaktoren" sheetId="5" r:id="rId1"/>
    <sheet name="ZDF-Topserv" sheetId="2" r:id="rId2"/>
    <sheet name="Daten2023" sheetId="4" r:id="rId3"/>
    <sheet name="KPI's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4" l="1"/>
  <c r="T8" i="4"/>
  <c r="X31" i="4" l="1"/>
  <c r="W31" i="4"/>
  <c r="U31" i="4"/>
  <c r="U32" i="4" l="1"/>
  <c r="U35" i="4" s="1"/>
  <c r="W32" i="4"/>
  <c r="W35" i="4" s="1"/>
  <c r="X32" i="4"/>
  <c r="X35" i="4" s="1"/>
  <c r="H31" i="4" l="1"/>
  <c r="E3" i="7"/>
  <c r="Y22" i="4"/>
  <c r="Z21" i="4"/>
  <c r="Z22" i="4" s="1"/>
  <c r="Z18" i="4"/>
  <c r="J24" i="4"/>
  <c r="J22" i="4"/>
  <c r="J21" i="4"/>
  <c r="J14" i="4"/>
  <c r="J20" i="4" s="1"/>
  <c r="J15" i="4"/>
  <c r="J16" i="4"/>
  <c r="J17" i="4"/>
  <c r="J18" i="4"/>
  <c r="J19" i="4"/>
  <c r="J13" i="4"/>
  <c r="J5" i="4"/>
  <c r="J12" i="4" s="1"/>
  <c r="J6" i="4"/>
  <c r="J7" i="4"/>
  <c r="J8" i="4"/>
  <c r="J9" i="4"/>
  <c r="J10" i="4"/>
  <c r="J11" i="4"/>
  <c r="J4" i="4"/>
  <c r="G5" i="4"/>
  <c r="G6" i="4"/>
  <c r="G7" i="4"/>
  <c r="G8" i="4"/>
  <c r="G9" i="4"/>
  <c r="G10" i="4"/>
  <c r="G11" i="4"/>
  <c r="G17" i="4"/>
  <c r="G18" i="4"/>
  <c r="G19" i="4"/>
  <c r="G21" i="4"/>
  <c r="G22" i="4"/>
  <c r="G4" i="4"/>
  <c r="E21" i="7"/>
  <c r="E20" i="7"/>
  <c r="E19" i="7"/>
  <c r="E18" i="7"/>
  <c r="S34" i="4"/>
  <c r="Q34" i="4"/>
  <c r="E2" i="7"/>
  <c r="T21" i="4"/>
  <c r="G12" i="4" l="1"/>
  <c r="G23" i="4"/>
  <c r="J23" i="4"/>
  <c r="J25" i="4" s="1"/>
  <c r="T22" i="4"/>
  <c r="T14" i="4"/>
  <c r="T15" i="4"/>
  <c r="T16" i="4"/>
  <c r="T17" i="4"/>
  <c r="T13" i="4"/>
  <c r="T7" i="4"/>
  <c r="T9" i="4"/>
  <c r="T10" i="4"/>
  <c r="T11" i="4"/>
  <c r="T4" i="4"/>
  <c r="S21" i="4"/>
  <c r="S23" i="4" s="1"/>
  <c r="S33" i="4" s="1"/>
  <c r="S18" i="4"/>
  <c r="T18" i="4" s="1"/>
  <c r="S15" i="4"/>
  <c r="S6" i="4"/>
  <c r="S5" i="4"/>
  <c r="S12" i="4" s="1"/>
  <c r="S31" i="4" s="1"/>
  <c r="D8" i="2"/>
  <c r="C8" i="2"/>
  <c r="X5" i="4"/>
  <c r="C22" i="4"/>
  <c r="E22" i="4"/>
  <c r="H22" i="4"/>
  <c r="K22" i="4"/>
  <c r="M22" i="4"/>
  <c r="O22" i="4"/>
  <c r="F24" i="4"/>
  <c r="W24" i="4"/>
  <c r="E17" i="7" s="1"/>
  <c r="P22" i="4" l="1"/>
  <c r="U22" i="4" s="1"/>
  <c r="E16" i="7"/>
  <c r="G24" i="4"/>
  <c r="B34" i="4" s="1"/>
  <c r="E7" i="7" s="1"/>
  <c r="E9" i="7"/>
  <c r="E8" i="7"/>
  <c r="E4" i="7"/>
  <c r="E5" i="7"/>
  <c r="S20" i="4"/>
  <c r="T19" i="4"/>
  <c r="E6" i="7"/>
  <c r="S32" i="4" l="1"/>
  <c r="S25" i="4"/>
  <c r="W19" i="4"/>
  <c r="AG5" i="4"/>
  <c r="AF5" i="4"/>
  <c r="AH5" i="4"/>
  <c r="AH12" i="4" s="1"/>
  <c r="S35" i="4" l="1"/>
  <c r="AH23" i="4"/>
  <c r="AH20" i="4"/>
  <c r="AG23" i="4"/>
  <c r="AG20" i="4"/>
  <c r="AG12" i="4"/>
  <c r="AG25" i="4" l="1"/>
  <c r="AH25" i="4"/>
  <c r="E5" i="4"/>
  <c r="E6" i="4"/>
  <c r="E7" i="4"/>
  <c r="E8" i="4"/>
  <c r="E9" i="4"/>
  <c r="E10" i="4"/>
  <c r="E11" i="4"/>
  <c r="E4" i="4"/>
  <c r="Q5" i="4"/>
  <c r="T5" i="4" s="1"/>
  <c r="Q6" i="4"/>
  <c r="T6" i="4" s="1"/>
  <c r="M5" i="4"/>
  <c r="M6" i="4"/>
  <c r="M7" i="4"/>
  <c r="M8" i="4"/>
  <c r="M9" i="4"/>
  <c r="M10" i="4"/>
  <c r="M11" i="4"/>
  <c r="M4" i="4"/>
  <c r="D23" i="4"/>
  <c r="F23" i="4"/>
  <c r="I23" i="4"/>
  <c r="L23" i="4"/>
  <c r="N23" i="4"/>
  <c r="Q23" i="4"/>
  <c r="W23" i="4"/>
  <c r="X23" i="4"/>
  <c r="Y23" i="4"/>
  <c r="Z23" i="4"/>
  <c r="AA23" i="4"/>
  <c r="D3" i="7" s="1"/>
  <c r="AF23" i="4"/>
  <c r="D20" i="7" s="1"/>
  <c r="AB23" i="4"/>
  <c r="AC23" i="4"/>
  <c r="AD23" i="4"/>
  <c r="AE23" i="4"/>
  <c r="B23" i="4"/>
  <c r="O18" i="4"/>
  <c r="M18" i="4"/>
  <c r="K18" i="4"/>
  <c r="H18" i="4"/>
  <c r="E18" i="4"/>
  <c r="C18" i="4"/>
  <c r="C19" i="4"/>
  <c r="E19" i="4"/>
  <c r="H19" i="4"/>
  <c r="K19" i="4"/>
  <c r="M19" i="4"/>
  <c r="O19" i="4"/>
  <c r="Q20" i="4"/>
  <c r="O17" i="4"/>
  <c r="M17" i="4"/>
  <c r="K17" i="4"/>
  <c r="H17" i="4"/>
  <c r="E17" i="4"/>
  <c r="C17" i="4"/>
  <c r="F28" i="5"/>
  <c r="N12" i="4"/>
  <c r="L12" i="4"/>
  <c r="I12" i="4"/>
  <c r="F12" i="4"/>
  <c r="D12" i="4"/>
  <c r="B12" i="4"/>
  <c r="X12" i="4"/>
  <c r="Y12" i="4"/>
  <c r="Z12" i="4"/>
  <c r="AA12" i="4"/>
  <c r="B3" i="7" s="1"/>
  <c r="AF12" i="4"/>
  <c r="B21" i="7" s="1"/>
  <c r="AB12" i="4"/>
  <c r="AC12" i="4"/>
  <c r="AD12" i="4"/>
  <c r="AE12" i="4"/>
  <c r="X20" i="4"/>
  <c r="Y20" i="4"/>
  <c r="Z20" i="4"/>
  <c r="C19" i="7" s="1"/>
  <c r="AA20" i="4"/>
  <c r="C3" i="7" s="1"/>
  <c r="AF20" i="4"/>
  <c r="C21" i="7" s="1"/>
  <c r="AB20" i="4"/>
  <c r="AC20" i="4"/>
  <c r="AD20" i="4"/>
  <c r="AE20" i="4"/>
  <c r="L20" i="4"/>
  <c r="I20" i="4"/>
  <c r="D20" i="4"/>
  <c r="B20" i="4"/>
  <c r="M16" i="4"/>
  <c r="M21" i="4"/>
  <c r="M23" i="4" s="1"/>
  <c r="M24" i="4"/>
  <c r="W16" i="4"/>
  <c r="F16" i="4"/>
  <c r="E14" i="4"/>
  <c r="E15" i="4"/>
  <c r="E16" i="4"/>
  <c r="E21" i="4"/>
  <c r="E23" i="4" s="1"/>
  <c r="E24" i="4"/>
  <c r="E13" i="4"/>
  <c r="C14" i="4"/>
  <c r="C15" i="4"/>
  <c r="C16" i="4"/>
  <c r="C21" i="4"/>
  <c r="C24" i="4"/>
  <c r="M15" i="4"/>
  <c r="W15" i="4"/>
  <c r="F15" i="4"/>
  <c r="M13" i="4"/>
  <c r="F14" i="4"/>
  <c r="M14" i="4"/>
  <c r="H21" i="4"/>
  <c r="H23" i="4" s="1"/>
  <c r="H24" i="4"/>
  <c r="K14" i="4"/>
  <c r="K15" i="4"/>
  <c r="K16" i="4"/>
  <c r="K21" i="4"/>
  <c r="K23" i="4" s="1"/>
  <c r="K24" i="4"/>
  <c r="O14" i="4"/>
  <c r="O15" i="4"/>
  <c r="O16" i="4"/>
  <c r="O21" i="4"/>
  <c r="O23" i="4" s="1"/>
  <c r="O24" i="4"/>
  <c r="T23" i="4"/>
  <c r="T24" i="4"/>
  <c r="F41" i="5"/>
  <c r="F27" i="5"/>
  <c r="W14" i="4"/>
  <c r="O6" i="4"/>
  <c r="O13" i="4"/>
  <c r="O7" i="4"/>
  <c r="O8" i="4"/>
  <c r="O9" i="4"/>
  <c r="O10" i="4"/>
  <c r="O11" i="4"/>
  <c r="O5" i="4"/>
  <c r="K13" i="4"/>
  <c r="F13" i="4"/>
  <c r="W13" i="4"/>
  <c r="F37" i="5"/>
  <c r="C13" i="4"/>
  <c r="O4" i="4"/>
  <c r="K5" i="4"/>
  <c r="K6" i="4"/>
  <c r="K4" i="4"/>
  <c r="K7" i="4"/>
  <c r="K8" i="4"/>
  <c r="K9" i="4"/>
  <c r="K10" i="4"/>
  <c r="K11" i="4"/>
  <c r="H5" i="4"/>
  <c r="H6" i="4"/>
  <c r="H7" i="4"/>
  <c r="H8" i="4"/>
  <c r="H9" i="4"/>
  <c r="H10" i="4"/>
  <c r="H11" i="4"/>
  <c r="H4" i="4"/>
  <c r="C5" i="4"/>
  <c r="C6" i="4"/>
  <c r="C7" i="4"/>
  <c r="C8" i="4"/>
  <c r="C9" i="4"/>
  <c r="C10" i="4"/>
  <c r="C11" i="4"/>
  <c r="C4" i="4"/>
  <c r="F39" i="5"/>
  <c r="F38" i="5"/>
  <c r="F35" i="5"/>
  <c r="F34" i="5"/>
  <c r="F33" i="5"/>
  <c r="F32" i="5"/>
  <c r="F31" i="5"/>
  <c r="F30" i="5"/>
  <c r="F29" i="5"/>
  <c r="F26" i="5"/>
  <c r="F25" i="5"/>
  <c r="F24" i="5"/>
  <c r="F23" i="5"/>
  <c r="F22" i="5"/>
  <c r="F20" i="5"/>
  <c r="F19" i="5"/>
  <c r="F18" i="5"/>
  <c r="F17" i="5"/>
  <c r="F16" i="5"/>
  <c r="F15" i="5"/>
  <c r="F14" i="5"/>
  <c r="F13" i="5"/>
  <c r="F12" i="5"/>
  <c r="F10" i="5"/>
  <c r="F9" i="5"/>
  <c r="F8" i="5"/>
  <c r="F7" i="5"/>
  <c r="F6" i="5"/>
  <c r="F5" i="5"/>
  <c r="Q33" i="4" l="1"/>
  <c r="B33" i="4"/>
  <c r="D7" i="7" s="1"/>
  <c r="H14" i="4"/>
  <c r="G14" i="4"/>
  <c r="H15" i="4"/>
  <c r="G15" i="4"/>
  <c r="H16" i="4"/>
  <c r="P16" i="4" s="1"/>
  <c r="G16" i="4"/>
  <c r="P11" i="4"/>
  <c r="U11" i="4" s="1"/>
  <c r="P24" i="4"/>
  <c r="U24" i="4" s="1"/>
  <c r="D17" i="7"/>
  <c r="H13" i="4"/>
  <c r="P13" i="4" s="1"/>
  <c r="G13" i="4"/>
  <c r="P10" i="4"/>
  <c r="C2" i="7"/>
  <c r="P8" i="4"/>
  <c r="U8" i="4" s="1"/>
  <c r="P15" i="4"/>
  <c r="U15" i="4" s="1"/>
  <c r="P7" i="4"/>
  <c r="U7" i="4" s="1"/>
  <c r="P14" i="4"/>
  <c r="C18" i="7"/>
  <c r="B16" i="7"/>
  <c r="P6" i="4"/>
  <c r="U6" i="4" s="1"/>
  <c r="C20" i="7"/>
  <c r="P5" i="4"/>
  <c r="D21" i="7"/>
  <c r="B18" i="7"/>
  <c r="P9" i="4"/>
  <c r="U9" i="4" s="1"/>
  <c r="P17" i="4"/>
  <c r="U17" i="4" s="1"/>
  <c r="P19" i="4"/>
  <c r="U19" i="4" s="1"/>
  <c r="B2" i="7"/>
  <c r="P18" i="4"/>
  <c r="U18" i="4" s="1"/>
  <c r="D2" i="7"/>
  <c r="B20" i="7"/>
  <c r="P4" i="4"/>
  <c r="Z25" i="4"/>
  <c r="B19" i="7"/>
  <c r="D19" i="7"/>
  <c r="D16" i="7"/>
  <c r="D18" i="7"/>
  <c r="AA25" i="4"/>
  <c r="C23" i="4"/>
  <c r="P21" i="4"/>
  <c r="AB25" i="4"/>
  <c r="AF25" i="4"/>
  <c r="F20" i="7" s="1"/>
  <c r="AC25" i="4"/>
  <c r="D25" i="4"/>
  <c r="X25" i="4"/>
  <c r="B25" i="4"/>
  <c r="AE25" i="4"/>
  <c r="I25" i="4"/>
  <c r="AD25" i="4"/>
  <c r="L25" i="4"/>
  <c r="Y25" i="4"/>
  <c r="Q12" i="4"/>
  <c r="T12" i="4"/>
  <c r="E12" i="4"/>
  <c r="E25" i="4" s="1"/>
  <c r="M12" i="4"/>
  <c r="W20" i="4"/>
  <c r="C17" i="7" s="1"/>
  <c r="N20" i="4"/>
  <c r="N25" i="4" s="1"/>
  <c r="H12" i="4"/>
  <c r="K12" i="4"/>
  <c r="O20" i="4"/>
  <c r="O12" i="4"/>
  <c r="E20" i="4"/>
  <c r="K20" i="4"/>
  <c r="C12" i="4"/>
  <c r="C20" i="4"/>
  <c r="T20" i="4"/>
  <c r="F20" i="4"/>
  <c r="M20" i="4"/>
  <c r="U10" i="4"/>
  <c r="F42" i="5"/>
  <c r="B31" i="4" l="1"/>
  <c r="B7" i="7" s="1"/>
  <c r="F3" i="7"/>
  <c r="G20" i="4"/>
  <c r="H20" i="4"/>
  <c r="H25" i="4" s="1"/>
  <c r="F21" i="7"/>
  <c r="F2" i="7"/>
  <c r="D34" i="4"/>
  <c r="E10" i="7"/>
  <c r="E14" i="7" s="1"/>
  <c r="Q25" i="4"/>
  <c r="Q31" i="4"/>
  <c r="D4" i="7"/>
  <c r="D8" i="7"/>
  <c r="D9" i="7"/>
  <c r="D6" i="7"/>
  <c r="D5" i="7"/>
  <c r="F25" i="4"/>
  <c r="F16" i="7" s="1"/>
  <c r="C16" i="7"/>
  <c r="F18" i="7"/>
  <c r="F19" i="7"/>
  <c r="U5" i="4"/>
  <c r="K25" i="4"/>
  <c r="C25" i="4"/>
  <c r="M25" i="4"/>
  <c r="T25" i="4"/>
  <c r="O25" i="4"/>
  <c r="U21" i="4"/>
  <c r="U23" i="4" s="1"/>
  <c r="P23" i="4"/>
  <c r="U16" i="4"/>
  <c r="U4" i="4"/>
  <c r="P12" i="4"/>
  <c r="U13" i="4"/>
  <c r="P20" i="4"/>
  <c r="U14" i="4"/>
  <c r="W7" i="4"/>
  <c r="W6" i="4"/>
  <c r="G25" i="4" l="1"/>
  <c r="B32" i="4"/>
  <c r="U12" i="4"/>
  <c r="D31" i="4" s="1"/>
  <c r="B9" i="7"/>
  <c r="B8" i="7"/>
  <c r="B4" i="7"/>
  <c r="B6" i="7"/>
  <c r="Q35" i="4"/>
  <c r="B5" i="7"/>
  <c r="E12" i="7"/>
  <c r="E13" i="7"/>
  <c r="E15" i="7"/>
  <c r="E11" i="7"/>
  <c r="C9" i="7"/>
  <c r="C8" i="7"/>
  <c r="C4" i="7"/>
  <c r="C5" i="7"/>
  <c r="C6" i="7"/>
  <c r="D33" i="4"/>
  <c r="D10" i="7"/>
  <c r="D14" i="7" s="1"/>
  <c r="P25" i="4"/>
  <c r="W12" i="4"/>
  <c r="U20" i="4"/>
  <c r="C10" i="7" s="1"/>
  <c r="C14" i="7" s="1"/>
  <c r="C5" i="2"/>
  <c r="D5" i="2" s="1"/>
  <c r="C7" i="2"/>
  <c r="D7" i="2" s="1"/>
  <c r="C9" i="2"/>
  <c r="D9" i="2" s="1"/>
  <c r="C10" i="2"/>
  <c r="D10" i="2" s="1"/>
  <c r="C17" i="2"/>
  <c r="D17" i="2" s="1"/>
  <c r="C16" i="2"/>
  <c r="D16" i="2" s="1"/>
  <c r="C31" i="2"/>
  <c r="B31" i="2"/>
  <c r="D27" i="2"/>
  <c r="D28" i="2"/>
  <c r="E28" i="2" s="1"/>
  <c r="D29" i="2"/>
  <c r="E29" i="2" s="1"/>
  <c r="D30" i="2"/>
  <c r="E30" i="2" s="1"/>
  <c r="D26" i="2"/>
  <c r="E26" i="2" s="1"/>
  <c r="C7" i="7" l="1"/>
  <c r="B35" i="4"/>
  <c r="B10" i="7"/>
  <c r="B14" i="7" s="1"/>
  <c r="C15" i="7"/>
  <c r="C13" i="7"/>
  <c r="C12" i="7"/>
  <c r="C11" i="7"/>
  <c r="W25" i="4"/>
  <c r="F17" i="7" s="1"/>
  <c r="B17" i="7"/>
  <c r="D12" i="7"/>
  <c r="D13" i="7"/>
  <c r="D15" i="7"/>
  <c r="D11" i="7"/>
  <c r="U25" i="4"/>
  <c r="F10" i="7" s="1"/>
  <c r="F14" i="7" s="1"/>
  <c r="D32" i="4"/>
  <c r="D35" i="4" s="1"/>
  <c r="D18" i="2"/>
  <c r="C18" i="2"/>
  <c r="D31" i="2"/>
  <c r="E27" i="2"/>
  <c r="E31" i="2" s="1"/>
  <c r="F7" i="7" l="1"/>
  <c r="F4" i="7"/>
  <c r="F8" i="7"/>
  <c r="F9" i="7"/>
  <c r="F6" i="7"/>
  <c r="F5" i="7"/>
  <c r="B11" i="7"/>
  <c r="B12" i="7"/>
  <c r="B15" i="7"/>
  <c r="B13" i="7"/>
  <c r="F12" i="7"/>
  <c r="F13" i="7"/>
  <c r="F15" i="7"/>
  <c r="F11" i="7"/>
  <c r="B6" i="2"/>
  <c r="B4" i="2"/>
  <c r="C4" i="2" s="1"/>
  <c r="C6" i="2" l="1"/>
  <c r="D6" i="2" s="1"/>
  <c r="C11" i="2"/>
  <c r="B12" i="2"/>
  <c r="D4" i="2" l="1"/>
  <c r="C12" i="2"/>
  <c r="D12" i="2" l="1"/>
  <c r="D11" i="2"/>
</calcChain>
</file>

<file path=xl/sharedStrings.xml><?xml version="1.0" encoding="utf-8"?>
<sst xmlns="http://schemas.openxmlformats.org/spreadsheetml/2006/main" count="604" uniqueCount="311">
  <si>
    <t>Wärmepumpen</t>
  </si>
  <si>
    <t>kWp</t>
  </si>
  <si>
    <t>kWh / a</t>
  </si>
  <si>
    <t>Nonne</t>
  </si>
  <si>
    <t>Nonne in Planung</t>
  </si>
  <si>
    <t>Merhagen</t>
  </si>
  <si>
    <t>Lloyd in Planung</t>
  </si>
  <si>
    <t>Durner</t>
  </si>
  <si>
    <r>
      <t>CO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e - Ersparnis</t>
    </r>
  </si>
  <si>
    <t>kg</t>
  </si>
  <si>
    <t>kW/h</t>
  </si>
  <si>
    <t>Toussaint O+S</t>
  </si>
  <si>
    <t>Brune</t>
  </si>
  <si>
    <t>Hallenfläche</t>
  </si>
  <si>
    <t>Bürofläche</t>
  </si>
  <si>
    <t>Durchschnittlicher Heizenergiebedarf  120 kWh / m²a</t>
  </si>
  <si>
    <t>Heizenergiebedarf  in kWh</t>
  </si>
  <si>
    <t>kWh/a</t>
  </si>
  <si>
    <t>Annahme: 75% der benötigten Heizenergie kann durch Wärmepumpen aufgebracht werden</t>
  </si>
  <si>
    <t>Status aktuell:</t>
  </si>
  <si>
    <t>ZDF-TOPSERV</t>
  </si>
  <si>
    <t>Windkraftanlagen</t>
  </si>
  <si>
    <t>PV-Anlagen - 900 W / kWp</t>
  </si>
  <si>
    <t>inkl. Planung:</t>
  </si>
  <si>
    <t>Emissionsfaktor für Strommix = 0,434 kg CO2e / kWh</t>
  </si>
  <si>
    <t>Annahme: An 100 Tagen im Jahr liefert die Anlage Strom</t>
  </si>
  <si>
    <t>Vollständige Umstellung auf Öko-Strom und -Gas</t>
  </si>
  <si>
    <t>laut Umweltbericht</t>
  </si>
  <si>
    <t>Emissionsfaktor für Erdgas = 0,201 kg CO2e / kWh</t>
  </si>
  <si>
    <t>Energieträger</t>
  </si>
  <si>
    <t>Einheit</t>
  </si>
  <si>
    <t>Strom</t>
  </si>
  <si>
    <t>kWh</t>
  </si>
  <si>
    <t>Heizöl</t>
  </si>
  <si>
    <t>Erdgas</t>
  </si>
  <si>
    <t>m³</t>
  </si>
  <si>
    <t>Flüssiggas</t>
  </si>
  <si>
    <t>Diesel</t>
  </si>
  <si>
    <t>Benzin</t>
  </si>
  <si>
    <t>Holzpellets</t>
  </si>
  <si>
    <t>Klimabilanz</t>
  </si>
  <si>
    <t>Wencke-Management</t>
  </si>
  <si>
    <t>L</t>
  </si>
  <si>
    <t>Flugreisen</t>
  </si>
  <si>
    <t>km</t>
  </si>
  <si>
    <t>Lloyd-Kiel</t>
  </si>
  <si>
    <t>Lloyd-Stäbelow</t>
  </si>
  <si>
    <t>Beese</t>
  </si>
  <si>
    <t>Kernreich</t>
  </si>
  <si>
    <t>Glasofix</t>
  </si>
  <si>
    <t>Summe Wencke-Gruppe</t>
  </si>
  <si>
    <t>t</t>
  </si>
  <si>
    <t xml:space="preserve"> Emissionsquelle</t>
  </si>
  <si>
    <t>Menge / Verbrauch</t>
  </si>
  <si>
    <r>
      <t>Emissionsfaktor (t CO</t>
    </r>
    <r>
      <rPr>
        <b/>
        <vertAlign val="subscript"/>
        <sz val="14"/>
        <color theme="1"/>
        <rFont val="Aptos Narrow"/>
        <family val="2"/>
        <scheme val="minor"/>
      </rPr>
      <t>2</t>
    </r>
    <r>
      <rPr>
        <b/>
        <sz val="14"/>
        <color theme="1"/>
        <rFont val="Aptos Narrow"/>
        <family val="2"/>
        <scheme val="minor"/>
      </rPr>
      <t>e pro Einheit)</t>
    </r>
  </si>
  <si>
    <r>
      <t>Treibhausggasemission (CO</t>
    </r>
    <r>
      <rPr>
        <b/>
        <vertAlign val="subscript"/>
        <sz val="14"/>
        <color theme="1"/>
        <rFont val="Aptos Narrow"/>
        <family val="2"/>
        <scheme val="minor"/>
      </rPr>
      <t>2</t>
    </r>
    <r>
      <rPr>
        <b/>
        <sz val="14"/>
        <color theme="1"/>
        <rFont val="Aptos Narrow"/>
        <family val="2"/>
        <scheme val="minor"/>
      </rPr>
      <t>e in t)</t>
    </r>
  </si>
  <si>
    <t>Mobilität</t>
  </si>
  <si>
    <t xml:space="preserve">Erdgas, CNG </t>
  </si>
  <si>
    <t>(bitte eintragen)</t>
  </si>
  <si>
    <t>Liter</t>
  </si>
  <si>
    <t>Wasserstoff</t>
  </si>
  <si>
    <t>Elektro, Strommix Deutschland</t>
  </si>
  <si>
    <t>Direkte Kältemittelemissionen (Leakagen)</t>
  </si>
  <si>
    <t>R22</t>
  </si>
  <si>
    <t>R134A</t>
  </si>
  <si>
    <t>R404A</t>
  </si>
  <si>
    <t>R410A</t>
  </si>
  <si>
    <t>R407C</t>
  </si>
  <si>
    <t>R407F</t>
  </si>
  <si>
    <t>R-600A (Isobutan)</t>
  </si>
  <si>
    <t>R744 (CO2)</t>
  </si>
  <si>
    <t>R717 (NH3)</t>
  </si>
  <si>
    <t>Wärme</t>
  </si>
  <si>
    <t>Biogas Mix</t>
  </si>
  <si>
    <t>Hackschnitzel</t>
  </si>
  <si>
    <t>Stückholz</t>
  </si>
  <si>
    <t>Fernwärme</t>
  </si>
  <si>
    <t>Braunkohle</t>
  </si>
  <si>
    <t>Steinkohle</t>
  </si>
  <si>
    <t>Strommix Deutschland</t>
  </si>
  <si>
    <t>Strom-PV</t>
  </si>
  <si>
    <t>Ökostrom-Mix</t>
  </si>
  <si>
    <t>Gesamtsumme</t>
  </si>
  <si>
    <t>Scope 1</t>
  </si>
  <si>
    <t>Scope 2</t>
  </si>
  <si>
    <t>Scope1+Scope2</t>
  </si>
  <si>
    <t>Toussaint-Hanweiler</t>
  </si>
  <si>
    <t>Toussaint-Hermeskeil</t>
  </si>
  <si>
    <t>Offterdinger&amp;Sailer</t>
  </si>
  <si>
    <t>Rink-Reha</t>
  </si>
  <si>
    <t>Harema</t>
  </si>
  <si>
    <t>Öko / Mix</t>
  </si>
  <si>
    <t>Öko</t>
  </si>
  <si>
    <t>Mix</t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</si>
  <si>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2e</t>
    </r>
    <r>
      <rPr>
        <b/>
        <sz val="11"/>
        <color theme="1"/>
        <rFont val="Aptos Narrow"/>
        <family val="2"/>
        <scheme val="minor"/>
      </rPr>
      <t>-Emissionen (Scope 1 und 2 incl. Vorketten im Scope 3)</t>
    </r>
  </si>
  <si>
    <t>Geschäftspapier + Kartonagen</t>
  </si>
  <si>
    <t>Umsatz</t>
  </si>
  <si>
    <t>M€</t>
  </si>
  <si>
    <t>Anzahl MA</t>
  </si>
  <si>
    <t>m²</t>
  </si>
  <si>
    <t>Anzahl PKW</t>
  </si>
  <si>
    <t>Verkaufte Produkte</t>
  </si>
  <si>
    <t>Verkaufte Produkte mit NH-Label</t>
  </si>
  <si>
    <t>Folien/ Kstoffe</t>
  </si>
  <si>
    <t>Wasser</t>
  </si>
  <si>
    <t>Trinkwasser aus der Leitung</t>
  </si>
  <si>
    <t>Wasserverbrauch</t>
  </si>
  <si>
    <t>Anzahl    LKW + Transporter</t>
  </si>
  <si>
    <t>Standort Berlin ab 2024</t>
  </si>
  <si>
    <t>Summe Toussaint-Gruppe</t>
  </si>
  <si>
    <t>Berufskleidung24.de</t>
  </si>
  <si>
    <t>Franz Seidel</t>
  </si>
  <si>
    <t>TOPSERV</t>
  </si>
  <si>
    <t>Summe Durner-Gruppe</t>
  </si>
  <si>
    <t>Summe-Brune</t>
  </si>
  <si>
    <t>Heizöl / Pellets</t>
  </si>
  <si>
    <t>-</t>
  </si>
  <si>
    <t>VMS inkl. Abholm.</t>
  </si>
  <si>
    <t>E Nonne inkl. BS + HB</t>
  </si>
  <si>
    <t>Umwelt/Klima Zertifikate</t>
  </si>
  <si>
    <t>ISO 14001</t>
  </si>
  <si>
    <t>Anzahl MA weiblich</t>
  </si>
  <si>
    <t>Anzahl MA                      &gt; 5 Jahre im Unternehmen</t>
  </si>
  <si>
    <t>KPI</t>
  </si>
  <si>
    <r>
      <t>t CO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e</t>
    </r>
  </si>
  <si>
    <t>Wencke</t>
  </si>
  <si>
    <t>Toussaint</t>
  </si>
  <si>
    <t>Bezeichnung</t>
  </si>
  <si>
    <t>Faktor</t>
  </si>
  <si>
    <t>Einheit CO2e</t>
  </si>
  <si>
    <t>1.1 Wärmeverbauch</t>
  </si>
  <si>
    <t>Natural Gas</t>
  </si>
  <si>
    <t>kg/kWh (Cross CV)</t>
  </si>
  <si>
    <t>kg/m3</t>
  </si>
  <si>
    <t>Fuel Oil</t>
  </si>
  <si>
    <t>kg/Liter</t>
  </si>
  <si>
    <t>1.2 Kraftstoffverbrauch</t>
  </si>
  <si>
    <t>LPG (Autogas)</t>
  </si>
  <si>
    <t>CNG (Erdgas)</t>
  </si>
  <si>
    <t>kg/kg</t>
  </si>
  <si>
    <t>Biodiesel</t>
  </si>
  <si>
    <t>Bioethanol</t>
  </si>
  <si>
    <t>Emissionen pro Km (PKW)</t>
  </si>
  <si>
    <t>kg/ Km</t>
  </si>
  <si>
    <t>Emissionen pro Km (Transport)</t>
  </si>
  <si>
    <t>1.3 Gasleckagen</t>
  </si>
  <si>
    <t>Carbon dioxide (CO2)</t>
  </si>
  <si>
    <t>Carbon tetrachloride</t>
  </si>
  <si>
    <t>CFC-11/R11</t>
  </si>
  <si>
    <t>CFC-113</t>
  </si>
  <si>
    <t>CFC-114</t>
  </si>
  <si>
    <t>CFC-115</t>
  </si>
  <si>
    <t>CFC-12/R12</t>
  </si>
  <si>
    <t>CFC-13</t>
  </si>
  <si>
    <t>Dimethylether</t>
  </si>
  <si>
    <t>Halon-1211</t>
  </si>
  <si>
    <t>Halon-1301</t>
  </si>
  <si>
    <t>Halon-2402</t>
  </si>
  <si>
    <t>HCFC-123</t>
  </si>
  <si>
    <t>HCFC-124</t>
  </si>
  <si>
    <t>HCFC-141b</t>
  </si>
  <si>
    <t>HCFC-142b</t>
  </si>
  <si>
    <t>HCFC-22/R22</t>
  </si>
  <si>
    <t>HCFC-225ca</t>
  </si>
  <si>
    <t>HCFC-225cb</t>
  </si>
  <si>
    <t>HCFE-235da2</t>
  </si>
  <si>
    <t>HFC-125</t>
  </si>
  <si>
    <t>HFC-134</t>
  </si>
  <si>
    <t>HFC-134a</t>
  </si>
  <si>
    <t>HFC-143</t>
  </si>
  <si>
    <t>HFC-143a</t>
  </si>
  <si>
    <t>HFC-152a</t>
  </si>
  <si>
    <t>HFC-227ea</t>
  </si>
  <si>
    <t>HFC-23</t>
  </si>
  <si>
    <t>HFC-236fa</t>
  </si>
  <si>
    <t>HFC-245fa</t>
  </si>
  <si>
    <t>HFC-32</t>
  </si>
  <si>
    <t>HFC-41</t>
  </si>
  <si>
    <t>HFC-43</t>
  </si>
  <si>
    <t>HFE-125</t>
  </si>
  <si>
    <t>HFE-134</t>
  </si>
  <si>
    <t>HFE-143a</t>
  </si>
  <si>
    <t xml:space="preserve">HFE-236ca12 </t>
  </si>
  <si>
    <t>HFE-245cb2</t>
  </si>
  <si>
    <t>HFE-245fa2</t>
  </si>
  <si>
    <t>HFE-254cb2</t>
  </si>
  <si>
    <t xml:space="preserve">HFE-338pcc13 </t>
  </si>
  <si>
    <t>HFE-347mcc3</t>
  </si>
  <si>
    <t>HFE-347pcf2</t>
  </si>
  <si>
    <t>HFE-356pcc3</t>
  </si>
  <si>
    <t>HFE-43-10pccc124</t>
  </si>
  <si>
    <t xml:space="preserve">HFE-449sl </t>
  </si>
  <si>
    <t xml:space="preserve">HFE-569sf2 </t>
  </si>
  <si>
    <t>Methane</t>
  </si>
  <si>
    <t>Methyl bromide</t>
  </si>
  <si>
    <t>Methyl chloride</t>
  </si>
  <si>
    <t>Methyl chloroform</t>
  </si>
  <si>
    <t>Methylene chloride</t>
  </si>
  <si>
    <t>N2O</t>
  </si>
  <si>
    <t>NH3</t>
  </si>
  <si>
    <t>Nitrogen trifluoride</t>
  </si>
  <si>
    <t>Nitrous oxide</t>
  </si>
  <si>
    <t>PFC-3-1-10</t>
  </si>
  <si>
    <t>PFC-318</t>
  </si>
  <si>
    <t>PFC-116</t>
  </si>
  <si>
    <t>PFC-5-1-14</t>
  </si>
  <si>
    <t>PFC-14</t>
  </si>
  <si>
    <t>PFC-4-1-12</t>
  </si>
  <si>
    <t>PFC-218</t>
  </si>
  <si>
    <t>PFC-9-1-18</t>
  </si>
  <si>
    <t>PFPMIE</t>
  </si>
  <si>
    <t>R1234yf</t>
  </si>
  <si>
    <t>R1234ze</t>
  </si>
  <si>
    <t>R32</t>
  </si>
  <si>
    <t xml:space="preserve">R290 </t>
  </si>
  <si>
    <t>R406A</t>
  </si>
  <si>
    <t>R407A</t>
  </si>
  <si>
    <t>R408A</t>
  </si>
  <si>
    <t>R409A</t>
  </si>
  <si>
    <t>R449A</t>
  </si>
  <si>
    <t>R502</t>
  </si>
  <si>
    <t>R507</t>
  </si>
  <si>
    <t>R508B</t>
  </si>
  <si>
    <t xml:space="preserve">R600A </t>
  </si>
  <si>
    <t>Sulphur hexafluoride</t>
  </si>
  <si>
    <t>Trifluoromethyl sulphur pentafluoride</t>
  </si>
  <si>
    <t>Unbekannt</t>
  </si>
  <si>
    <t>2.1 Stromverbrauch</t>
  </si>
  <si>
    <t>deutscher Strommix</t>
  </si>
  <si>
    <t>kg/kWh</t>
  </si>
  <si>
    <t>Ökostrom</t>
  </si>
  <si>
    <t>selbsterzeugter Strom</t>
  </si>
  <si>
    <t>2.2 Fernwärme</t>
  </si>
  <si>
    <t>3.1 eingekaufte Waren und Dienstleistungen</t>
  </si>
  <si>
    <t>Blatt Papier</t>
  </si>
  <si>
    <t>kg/Blatt</t>
  </si>
  <si>
    <t>Papier Frischfaser</t>
  </si>
  <si>
    <t>Papier Recycelt</t>
  </si>
  <si>
    <t>Kartonage</t>
  </si>
  <si>
    <t>Kunststoff</t>
  </si>
  <si>
    <t>3.2 Anlagegüter</t>
  </si>
  <si>
    <t>LkW/PKW/Lagermaschinen</t>
  </si>
  <si>
    <t>kg/eingekauftes Pfund Sterling</t>
  </si>
  <si>
    <t>(Umrechnung in Euro erfolgt mit Umrechungskurs 1.17)</t>
  </si>
  <si>
    <t>3.3 vorgelagerte Emissionen</t>
  </si>
  <si>
    <t>Heizöl-WTT</t>
  </si>
  <si>
    <t>kg/l</t>
  </si>
  <si>
    <t>Gas-WTT</t>
  </si>
  <si>
    <t>LPG-WTT</t>
  </si>
  <si>
    <t>CNG-WTT</t>
  </si>
  <si>
    <t>Diesel-WTT</t>
  </si>
  <si>
    <t>Bioethanol-WTT</t>
  </si>
  <si>
    <t>Biodiesel-WTT</t>
  </si>
  <si>
    <t>Benzin-WTT</t>
  </si>
  <si>
    <t>Strommix Deutschland-indiekt</t>
  </si>
  <si>
    <t>Fernwärme-indirekt</t>
  </si>
  <si>
    <t>3.5 Abfall und Abwasser</t>
  </si>
  <si>
    <t>Bioabfall (Verbrennung)</t>
  </si>
  <si>
    <t>kg/Tonne</t>
  </si>
  <si>
    <t>Bioabfall (Deponierung)</t>
  </si>
  <si>
    <t>Gefahrstoffleergebinde</t>
  </si>
  <si>
    <t>Gefahrstoffe</t>
  </si>
  <si>
    <t>Gewerbeabfall (Verbrennung)</t>
  </si>
  <si>
    <t>Gewerbeabfall (Deponierung)</t>
  </si>
  <si>
    <t>Pappe/Papier/Kartonage (Verbrennung)</t>
  </si>
  <si>
    <t>Pappe/Papier/Kartonage (Deponierung)</t>
  </si>
  <si>
    <t>Folie (Deponierung)</t>
  </si>
  <si>
    <t>Folie (Verbrennung)</t>
  </si>
  <si>
    <t>Abwasser</t>
  </si>
  <si>
    <t>3.6 Geschäftsreisen</t>
  </si>
  <si>
    <t>Flugreisen (Kurz/Mittelstrecke)</t>
  </si>
  <si>
    <t>kg/PKm</t>
  </si>
  <si>
    <t>Zugreisen</t>
  </si>
  <si>
    <t>kg/Pkm</t>
  </si>
  <si>
    <t>PKW</t>
  </si>
  <si>
    <t xml:space="preserve">Verbrauchsdaten </t>
  </si>
  <si>
    <t>(siehe Scope 1)</t>
  </si>
  <si>
    <t>Wencke-Gruppe</t>
  </si>
  <si>
    <t>Toussaint-Gruppe</t>
  </si>
  <si>
    <t>Durner-Gruppe</t>
  </si>
  <si>
    <t>Erzeugter PV/Wind - Strom</t>
  </si>
  <si>
    <t>Gesamtenergieverbrauch (kWh)</t>
  </si>
  <si>
    <t>Gesamtenergieverbrauch / Gewerbefläche (kWh/m²)</t>
  </si>
  <si>
    <t>Umsatz / Mitarbeiter (€/MA)</t>
  </si>
  <si>
    <t>Ökostrom / Gesamtenergieverbrauch (%)</t>
  </si>
  <si>
    <t>Selbsterzeugter Strom / Gesamtenergieverbrauch (%)</t>
  </si>
  <si>
    <t>Verkauf nachhaltiger Produkte / Warenabsatz</t>
  </si>
  <si>
    <t>Kraftstoffverbrauch / Warenabsatz (L/t)</t>
  </si>
  <si>
    <t>Anteil weiblicher Mitarbeiter</t>
  </si>
  <si>
    <t>Anteil Mitarbeiter &gt; 5 Jahre im Unternehmen</t>
  </si>
  <si>
    <r>
      <t>Gesamtenergieverbrauch</t>
    </r>
    <r>
      <rPr>
        <b/>
        <sz val="9"/>
        <color theme="1"/>
        <rFont val="Calibri"/>
        <family val="2"/>
      </rPr>
      <t xml:space="preserve"> (ohne Benzin, da Privatnutzung von Firmenwagen möglich)</t>
    </r>
  </si>
  <si>
    <t>Gekaufter Ökostrom kWh</t>
  </si>
  <si>
    <t>Erzeugter Strom         kWh</t>
  </si>
  <si>
    <t>Gesamtenergieverbrauch / Mitarbeiter (kWh/MA)</t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</si>
  <si>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e-Emissionen (Scope 1+2) (t)</t>
    </r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</si>
  <si>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e-Emissionen / Gesamtenergieverbrauch (kg/kWh)</t>
    </r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</si>
  <si>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e-Emissionen / Gewerbefläche (kg/m²)</t>
    </r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</si>
  <si>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e-Emissionen / Warenabsatz (%)</t>
    </r>
  </si>
  <si>
    <t>Papierverbrauch / Warenabsatz  (kg/t)</t>
  </si>
  <si>
    <t>Folienverbrauch / Warenabsatz (kg/t)</t>
  </si>
  <si>
    <t>Total (Einlagerung bis Auslieferung)</t>
  </si>
  <si>
    <t>Gesamtenergieverbrauch / Umsatz (kWh/1000€)</t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</si>
  <si>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e-Emissionen / Umsatz (kg/1000€)</t>
    </r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</si>
  <si>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e-Emissionen / Mitarbeiter (kg/MA)</t>
    </r>
  </si>
  <si>
    <t>Umsatz / Warenabsatz (T€/t)</t>
  </si>
  <si>
    <t>Kompensation</t>
  </si>
  <si>
    <t>200.000 m² Wald</t>
  </si>
  <si>
    <t>Recyclingabfall Papier</t>
  </si>
  <si>
    <t>Recyclingabfall Kst.</t>
  </si>
  <si>
    <t>Restmüll</t>
  </si>
  <si>
    <t>Gefährlicher Abfall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</si>
</sst>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\ _€_-;\-* #,##0.00\ _€_-;_-* &quot;-&quot;??\ _€_-;_-@_-"/>
    <numFmt numFmtId="167" formatCode="_-* #,##0.000000\ _€_-;\-* #,##0.000000\ _€_-;_-* &quot;-&quot;??\ _€_-;_-@_-"/>
    <numFmt numFmtId="168" formatCode="_-* #,##0.000_-;\-* #,##0.000_-;_-* &quot;-&quot;??_-;_-@_-"/>
    <numFmt numFmtId="169" formatCode="_-* #,##0.0000_-;\-* #,##0.0000_-;_-* &quot;-&quot;??_-;_-@_-"/>
    <numFmt numFmtId="170" formatCode="0.0"/>
    <numFmt numFmtId="171" formatCode="0.000"/>
    <numFmt numFmtId="172" formatCode="0.0000"/>
    <numFmt numFmtId="173" formatCode="#,##0.0"/>
    <numFmt numFmtId="174" formatCode="#,##0.000"/>
    <numFmt numFmtId="175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bscript"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vertAlign val="subscript"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vertAlign val="subscript"/>
      <sz val="11"/>
      <color theme="1"/>
      <name val="Calibri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164" fontId="2" fillId="0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2" fillId="3" borderId="0" xfId="1" applyNumberFormat="1" applyFont="1" applyFill="1" applyAlignment="1">
      <alignment horizontal="right" vertical="center"/>
    </xf>
    <xf numFmtId="164" fontId="2" fillId="3" borderId="0" xfId="1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6" fillId="0" borderId="0" xfId="1" applyNumberFormat="1" applyFont="1" applyAlignment="1">
      <alignment vertical="center"/>
    </xf>
    <xf numFmtId="0" fontId="9" fillId="4" borderId="0" xfId="0" applyFont="1" applyFill="1"/>
    <xf numFmtId="0" fontId="9" fillId="4" borderId="0" xfId="0" applyFont="1" applyFill="1" applyAlignment="1">
      <alignment horizontal="left" wrapText="1"/>
    </xf>
    <xf numFmtId="0" fontId="9" fillId="4" borderId="0" xfId="0" applyFont="1" applyFill="1" applyAlignment="1">
      <alignment horizontal="center"/>
    </xf>
    <xf numFmtId="0" fontId="9" fillId="0" borderId="0" xfId="0" applyFont="1"/>
    <xf numFmtId="0" fontId="11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/>
    <xf numFmtId="0" fontId="0" fillId="6" borderId="0" xfId="0" applyFill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6" fontId="9" fillId="7" borderId="0" xfId="0" applyNumberFormat="1" applyFont="1" applyFill="1" applyAlignment="1">
      <alignment horizontal="center"/>
    </xf>
    <xf numFmtId="0" fontId="0" fillId="8" borderId="0" xfId="0" applyFill="1"/>
    <xf numFmtId="165" fontId="6" fillId="0" borderId="0" xfId="0" applyNumberFormat="1" applyFont="1" applyAlignment="1">
      <alignment vertical="center"/>
    </xf>
    <xf numFmtId="165" fontId="7" fillId="0" borderId="0" xfId="1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4" fontId="6" fillId="0" borderId="0" xfId="1" applyNumberFormat="1" applyFont="1" applyAlignment="1">
      <alignment horizontal="center" vertical="center"/>
    </xf>
    <xf numFmtId="168" fontId="6" fillId="0" borderId="0" xfId="1" applyNumberFormat="1" applyFont="1" applyAlignment="1">
      <alignment vertical="center"/>
    </xf>
    <xf numFmtId="43" fontId="6" fillId="0" borderId="0" xfId="1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4" fontId="7" fillId="9" borderId="1" xfId="1" applyNumberFormat="1" applyFont="1" applyFill="1" applyBorder="1" applyAlignment="1">
      <alignment horizontal="center" vertical="center"/>
    </xf>
    <xf numFmtId="165" fontId="7" fillId="10" borderId="1" xfId="1" applyNumberFormat="1" applyFont="1" applyFill="1" applyBorder="1" applyAlignment="1">
      <alignment horizontal="center" vertical="center"/>
    </xf>
    <xf numFmtId="164" fontId="6" fillId="11" borderId="1" xfId="1" applyNumberFormat="1" applyFont="1" applyFill="1" applyBorder="1" applyAlignment="1">
      <alignment vertical="center"/>
    </xf>
    <xf numFmtId="43" fontId="6" fillId="11" borderId="1" xfId="1" applyFont="1" applyFill="1" applyBorder="1" applyAlignment="1">
      <alignment vertical="center"/>
    </xf>
    <xf numFmtId="0" fontId="6" fillId="11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165" fontId="6" fillId="0" borderId="1" xfId="1" applyNumberFormat="1" applyFont="1" applyBorder="1" applyAlignment="1">
      <alignment vertical="center"/>
    </xf>
    <xf numFmtId="168" fontId="6" fillId="0" borderId="1" xfId="1" applyNumberFormat="1" applyFont="1" applyBorder="1" applyAlignment="1">
      <alignment vertical="center"/>
    </xf>
    <xf numFmtId="165" fontId="7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43" fontId="6" fillId="0" borderId="1" xfId="1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70" fontId="7" fillId="3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9" fontId="6" fillId="0" borderId="1" xfId="1" applyNumberFormat="1" applyFont="1" applyBorder="1" applyAlignment="1">
      <alignment vertical="center"/>
    </xf>
    <xf numFmtId="164" fontId="6" fillId="11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1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0" fontId="7" fillId="12" borderId="1" xfId="0" applyFont="1" applyFill="1" applyBorder="1" applyAlignment="1">
      <alignment vertical="center"/>
    </xf>
    <xf numFmtId="164" fontId="7" fillId="12" borderId="1" xfId="1" applyNumberFormat="1" applyFont="1" applyFill="1" applyBorder="1" applyAlignment="1">
      <alignment vertical="center"/>
    </xf>
    <xf numFmtId="170" fontId="7" fillId="12" borderId="1" xfId="0" applyNumberFormat="1" applyFont="1" applyFill="1" applyBorder="1" applyAlignment="1">
      <alignment vertical="center"/>
    </xf>
    <xf numFmtId="172" fontId="7" fillId="12" borderId="1" xfId="0" applyNumberFormat="1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/>
    </xf>
    <xf numFmtId="165" fontId="7" fillId="12" borderId="1" xfId="1" applyNumberFormat="1" applyFont="1" applyFill="1" applyBorder="1" applyAlignment="1">
      <alignment vertical="center"/>
    </xf>
    <xf numFmtId="43" fontId="7" fillId="3" borderId="1" xfId="0" applyNumberFormat="1" applyFont="1" applyFill="1" applyBorder="1" applyAlignment="1">
      <alignment vertical="center"/>
    </xf>
    <xf numFmtId="43" fontId="7" fillId="12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13" borderId="0" xfId="0" applyFont="1" applyFill="1"/>
    <xf numFmtId="0" fontId="13" fillId="13" borderId="0" xfId="0" applyFont="1" applyFill="1" applyAlignment="1">
      <alignment horizontal="right"/>
    </xf>
    <xf numFmtId="0" fontId="14" fillId="13" borderId="0" xfId="0" applyFont="1" applyFill="1"/>
    <xf numFmtId="0" fontId="15" fillId="13" borderId="0" xfId="0" applyFont="1" applyFill="1"/>
    <xf numFmtId="0" fontId="15" fillId="13" borderId="0" xfId="0" applyFont="1" applyFill="1" applyAlignment="1">
      <alignment horizontal="right"/>
    </xf>
    <xf numFmtId="0" fontId="16" fillId="13" borderId="0" xfId="0" applyFont="1" applyFill="1"/>
    <xf numFmtId="0" fontId="17" fillId="14" borderId="0" xfId="0" applyFont="1" applyFill="1" applyAlignment="1">
      <alignment vertical="top"/>
    </xf>
    <xf numFmtId="0" fontId="17" fillId="13" borderId="0" xfId="0" applyFont="1" applyFill="1"/>
    <xf numFmtId="173" fontId="17" fillId="14" borderId="0" xfId="0" applyNumberFormat="1" applyFont="1" applyFill="1" applyAlignment="1">
      <alignment horizontal="right"/>
    </xf>
    <xf numFmtId="0" fontId="0" fillId="13" borderId="0" xfId="0" applyFill="1"/>
    <xf numFmtId="173" fontId="18" fillId="13" borderId="0" xfId="0" applyNumberFormat="1" applyFont="1" applyFill="1"/>
    <xf numFmtId="174" fontId="15" fillId="13" borderId="0" xfId="0" applyNumberFormat="1" applyFont="1" applyFill="1"/>
    <xf numFmtId="0" fontId="19" fillId="13" borderId="0" xfId="0" applyFont="1" applyFill="1"/>
    <xf numFmtId="43" fontId="6" fillId="0" borderId="1" xfId="1" applyFont="1" applyFill="1" applyBorder="1" applyAlignment="1">
      <alignment vertical="center"/>
    </xf>
    <xf numFmtId="43" fontId="7" fillId="3" borderId="1" xfId="1" applyFont="1" applyFill="1" applyBorder="1" applyAlignment="1">
      <alignment vertical="center"/>
    </xf>
    <xf numFmtId="169" fontId="6" fillId="0" borderId="1" xfId="1" applyNumberFormat="1" applyFont="1" applyFill="1" applyBorder="1" applyAlignment="1">
      <alignment vertical="center"/>
    </xf>
    <xf numFmtId="165" fontId="7" fillId="0" borderId="1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71" fontId="7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68" fontId="7" fillId="0" borderId="0" xfId="1" applyNumberFormat="1" applyFont="1" applyAlignment="1">
      <alignment vertical="center"/>
    </xf>
    <xf numFmtId="175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5" fillId="0" borderId="1" xfId="1" applyNumberFormat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70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4" fontId="7" fillId="0" borderId="0" xfId="1" applyNumberFormat="1" applyFont="1" applyAlignment="1">
      <alignment vertical="center"/>
    </xf>
    <xf numFmtId="9" fontId="6" fillId="0" borderId="0" xfId="2" applyFont="1" applyAlignment="1">
      <alignment vertical="center"/>
    </xf>
    <xf numFmtId="9" fontId="7" fillId="0" borderId="0" xfId="2" applyFont="1" applyAlignment="1">
      <alignment vertical="center"/>
    </xf>
    <xf numFmtId="165" fontId="7" fillId="0" borderId="0" xfId="1" applyNumberFormat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43" fontId="7" fillId="0" borderId="0" xfId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175" fontId="6" fillId="0" borderId="0" xfId="2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164" fontId="7" fillId="9" borderId="1" xfId="1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C479-5F82-44AA-8E83-14289651EF37}">
  <dimension ref="A1:DM206"/>
  <sheetViews>
    <sheetView workbookViewId="0">
      <selection activeCell="E38" sqref="E38"/>
    </sheetView>
  </sheetViews>
  <sheetFormatPr baseColWidth="10" defaultRowHeight="14.4" x14ac:dyDescent="0.3"/>
  <cols>
    <col min="1" max="1" width="41.33203125" customWidth="1"/>
    <col min="2" max="2" width="26.109375" customWidth="1"/>
    <col min="3" max="3" width="22.44140625" customWidth="1"/>
    <col min="4" max="4" width="12.6640625" bestFit="1" customWidth="1"/>
    <col min="5" max="5" width="39.109375" style="20" bestFit="1" customWidth="1"/>
    <col min="6" max="6" width="37.33203125" style="20" bestFit="1" customWidth="1"/>
  </cols>
  <sheetData>
    <row r="1" spans="1:117" ht="15.6" x14ac:dyDescent="0.35">
      <c r="A1" s="19" t="s">
        <v>94</v>
      </c>
      <c r="B1" s="19"/>
      <c r="C1" s="19"/>
      <c r="E1"/>
    </row>
    <row r="3" spans="1:117" s="26" customFormat="1" ht="24.6" customHeight="1" x14ac:dyDescent="0.45">
      <c r="A3" s="26" t="s">
        <v>52</v>
      </c>
      <c r="B3" s="26" t="s">
        <v>29</v>
      </c>
      <c r="C3" s="27" t="s">
        <v>53</v>
      </c>
      <c r="D3" s="26" t="s">
        <v>30</v>
      </c>
      <c r="E3" s="28" t="s">
        <v>54</v>
      </c>
      <c r="F3" s="28" t="s">
        <v>55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</row>
    <row r="4" spans="1:117" s="33" customFormat="1" x14ac:dyDescent="0.3">
      <c r="A4" s="30" t="s">
        <v>56</v>
      </c>
      <c r="B4" s="31"/>
      <c r="C4" s="31"/>
      <c r="D4" s="31"/>
      <c r="E4" s="32"/>
      <c r="F4" s="32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 x14ac:dyDescent="0.3">
      <c r="B5" t="s">
        <v>57</v>
      </c>
      <c r="C5" s="34" t="s">
        <v>58</v>
      </c>
      <c r="D5" t="s">
        <v>59</v>
      </c>
      <c r="E5" s="20">
        <v>5.4100000000000003E-4</v>
      </c>
      <c r="F5" s="35">
        <f>IF(C5="(bitte eintragen)",0,C5*E5)</f>
        <v>0</v>
      </c>
    </row>
    <row r="6" spans="1:117" x14ac:dyDescent="0.3">
      <c r="B6" t="s">
        <v>57</v>
      </c>
      <c r="C6" s="34" t="s">
        <v>58</v>
      </c>
      <c r="D6" t="s">
        <v>32</v>
      </c>
      <c r="E6" s="20">
        <v>3.39E-4</v>
      </c>
      <c r="F6" s="35">
        <f t="shared" ref="F6:F10" si="0">IF(C6="(bitte eintragen)",0,C6*E6)</f>
        <v>0</v>
      </c>
    </row>
    <row r="7" spans="1:117" x14ac:dyDescent="0.3">
      <c r="B7" t="s">
        <v>60</v>
      </c>
      <c r="C7" s="34" t="s">
        <v>58</v>
      </c>
      <c r="D7" t="s">
        <v>9</v>
      </c>
      <c r="E7" s="20">
        <v>7.4989999999999996E-3</v>
      </c>
      <c r="F7" s="35">
        <f t="shared" si="0"/>
        <v>0</v>
      </c>
    </row>
    <row r="8" spans="1:117" x14ac:dyDescent="0.3">
      <c r="B8" t="s">
        <v>61</v>
      </c>
      <c r="C8" s="34" t="s">
        <v>58</v>
      </c>
      <c r="D8" t="s">
        <v>32</v>
      </c>
      <c r="E8" s="20">
        <v>4.8500000000000003E-4</v>
      </c>
      <c r="F8" s="35">
        <f t="shared" si="0"/>
        <v>0</v>
      </c>
    </row>
    <row r="9" spans="1:117" x14ac:dyDescent="0.3">
      <c r="B9" t="s">
        <v>38</v>
      </c>
      <c r="C9" s="34" t="s">
        <v>58</v>
      </c>
      <c r="D9" t="s">
        <v>59</v>
      </c>
      <c r="E9" s="20">
        <v>3.0300000000000001E-3</v>
      </c>
      <c r="F9" s="35">
        <f t="shared" si="0"/>
        <v>0</v>
      </c>
    </row>
    <row r="10" spans="1:117" x14ac:dyDescent="0.3">
      <c r="B10" t="s">
        <v>37</v>
      </c>
      <c r="C10" s="34" t="s">
        <v>58</v>
      </c>
      <c r="D10" t="s">
        <v>59</v>
      </c>
      <c r="E10" s="20">
        <v>3.4099999999999998E-3</v>
      </c>
      <c r="F10" s="36">
        <f t="shared" si="0"/>
        <v>0</v>
      </c>
    </row>
    <row r="11" spans="1:117" s="33" customFormat="1" x14ac:dyDescent="0.3">
      <c r="A11" s="30" t="s">
        <v>62</v>
      </c>
      <c r="B11" s="31"/>
      <c r="C11" s="31"/>
      <c r="D11" s="31"/>
      <c r="E11" s="32"/>
      <c r="F11" s="32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 x14ac:dyDescent="0.3">
      <c r="B12" t="s">
        <v>63</v>
      </c>
      <c r="C12" s="34" t="s">
        <v>58</v>
      </c>
      <c r="D12" t="s">
        <v>9</v>
      </c>
      <c r="E12" s="20">
        <v>1.8859999999999999</v>
      </c>
      <c r="F12" s="35">
        <f t="shared" ref="F12:F20" si="1">IF(C12="(bitte eintragen)",0,C12*E12)</f>
        <v>0</v>
      </c>
    </row>
    <row r="13" spans="1:117" x14ac:dyDescent="0.3">
      <c r="B13" t="s">
        <v>64</v>
      </c>
      <c r="C13" s="34" t="s">
        <v>58</v>
      </c>
      <c r="D13" t="s">
        <v>9</v>
      </c>
      <c r="E13" s="20">
        <v>1.5329999999999999</v>
      </c>
      <c r="F13" s="35">
        <f t="shared" si="1"/>
        <v>0</v>
      </c>
    </row>
    <row r="14" spans="1:117" x14ac:dyDescent="0.3">
      <c r="B14" t="s">
        <v>65</v>
      </c>
      <c r="C14" s="34" t="s">
        <v>58</v>
      </c>
      <c r="D14" t="s">
        <v>9</v>
      </c>
      <c r="E14" s="20">
        <v>4.0250000000000004</v>
      </c>
      <c r="F14" s="35">
        <f t="shared" si="1"/>
        <v>0</v>
      </c>
    </row>
    <row r="15" spans="1:117" x14ac:dyDescent="0.3">
      <c r="B15" t="s">
        <v>66</v>
      </c>
      <c r="C15" s="34" t="s">
        <v>58</v>
      </c>
      <c r="D15" t="s">
        <v>9</v>
      </c>
      <c r="E15" s="20">
        <v>2.177</v>
      </c>
      <c r="F15" s="35">
        <f t="shared" si="1"/>
        <v>0</v>
      </c>
    </row>
    <row r="16" spans="1:117" x14ac:dyDescent="0.3">
      <c r="B16" t="s">
        <v>67</v>
      </c>
      <c r="C16" s="34" t="s">
        <v>58</v>
      </c>
      <c r="D16" t="s">
        <v>9</v>
      </c>
      <c r="E16" s="20">
        <v>1.774</v>
      </c>
      <c r="F16" s="35">
        <f t="shared" si="1"/>
        <v>0</v>
      </c>
    </row>
    <row r="17" spans="1:117" x14ac:dyDescent="0.3">
      <c r="B17" t="s">
        <v>68</v>
      </c>
      <c r="C17" s="34" t="s">
        <v>58</v>
      </c>
      <c r="D17" t="s">
        <v>9</v>
      </c>
      <c r="E17" s="20">
        <v>1.825</v>
      </c>
      <c r="F17" s="35">
        <f t="shared" si="1"/>
        <v>0</v>
      </c>
    </row>
    <row r="18" spans="1:117" x14ac:dyDescent="0.3">
      <c r="B18" t="s">
        <v>69</v>
      </c>
      <c r="C18" s="34" t="s">
        <v>58</v>
      </c>
      <c r="D18" t="s">
        <v>9</v>
      </c>
      <c r="E18" s="20">
        <v>3.0000000000000001E-3</v>
      </c>
      <c r="F18" s="35">
        <f t="shared" si="1"/>
        <v>0</v>
      </c>
    </row>
    <row r="19" spans="1:117" x14ac:dyDescent="0.3">
      <c r="B19" t="s">
        <v>70</v>
      </c>
      <c r="C19" s="34" t="s">
        <v>58</v>
      </c>
      <c r="D19" t="s">
        <v>9</v>
      </c>
      <c r="E19" s="20">
        <v>1E-3</v>
      </c>
      <c r="F19" s="35">
        <f t="shared" si="1"/>
        <v>0</v>
      </c>
    </row>
    <row r="20" spans="1:117" x14ac:dyDescent="0.3">
      <c r="B20" t="s">
        <v>71</v>
      </c>
      <c r="C20" s="34" t="s">
        <v>58</v>
      </c>
      <c r="D20" t="s">
        <v>9</v>
      </c>
      <c r="E20" s="20">
        <v>0</v>
      </c>
      <c r="F20" s="35">
        <f t="shared" si="1"/>
        <v>0</v>
      </c>
    </row>
    <row r="21" spans="1:117" s="33" customFormat="1" x14ac:dyDescent="0.3">
      <c r="A21" s="30" t="s">
        <v>72</v>
      </c>
      <c r="B21" s="31"/>
      <c r="C21" s="31"/>
      <c r="D21" s="31"/>
      <c r="E21" s="32"/>
      <c r="F21" s="32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17" x14ac:dyDescent="0.3">
      <c r="B22" t="s">
        <v>34</v>
      </c>
      <c r="C22" s="34" t="s">
        <v>58</v>
      </c>
      <c r="D22" t="s">
        <v>35</v>
      </c>
      <c r="E22" s="20">
        <v>2.3019999999999998E-3</v>
      </c>
      <c r="F22" s="35">
        <f t="shared" ref="F22:F35" si="2">IF(C22="(bitte eintragen)",0,C22*E22)</f>
        <v>0</v>
      </c>
    </row>
    <row r="23" spans="1:117" x14ac:dyDescent="0.3">
      <c r="B23" t="s">
        <v>34</v>
      </c>
      <c r="C23" s="34" t="s">
        <v>58</v>
      </c>
      <c r="D23" t="s">
        <v>32</v>
      </c>
      <c r="E23" s="20">
        <v>2.4399999999999999E-4</v>
      </c>
      <c r="F23" s="35">
        <f t="shared" si="2"/>
        <v>0</v>
      </c>
    </row>
    <row r="24" spans="1:117" x14ac:dyDescent="0.3">
      <c r="B24" t="s">
        <v>73</v>
      </c>
      <c r="C24" s="34" t="s">
        <v>58</v>
      </c>
      <c r="D24" t="s">
        <v>35</v>
      </c>
      <c r="E24" s="20">
        <v>7.85E-4</v>
      </c>
      <c r="F24" s="35">
        <f t="shared" si="2"/>
        <v>0</v>
      </c>
    </row>
    <row r="25" spans="1:117" x14ac:dyDescent="0.3">
      <c r="B25" t="s">
        <v>73</v>
      </c>
      <c r="C25" s="34" t="s">
        <v>58</v>
      </c>
      <c r="D25" t="s">
        <v>32</v>
      </c>
      <c r="E25" s="20">
        <v>1.5699999999999999E-4</v>
      </c>
      <c r="F25" s="35">
        <f t="shared" si="2"/>
        <v>0</v>
      </c>
    </row>
    <row r="26" spans="1:117" x14ac:dyDescent="0.3">
      <c r="B26" t="s">
        <v>33</v>
      </c>
      <c r="C26" s="34" t="s">
        <v>58</v>
      </c>
      <c r="D26" t="s">
        <v>59</v>
      </c>
      <c r="E26" s="20">
        <v>3.042E-3</v>
      </c>
      <c r="F26" s="35">
        <f t="shared" si="2"/>
        <v>0</v>
      </c>
    </row>
    <row r="27" spans="1:117" x14ac:dyDescent="0.3">
      <c r="B27" t="s">
        <v>33</v>
      </c>
      <c r="C27" s="34" t="s">
        <v>58</v>
      </c>
      <c r="D27" t="s">
        <v>32</v>
      </c>
      <c r="E27" s="20">
        <v>3.68E-4</v>
      </c>
      <c r="F27" s="35">
        <f t="shared" ref="F27:F28" si="3">IF(C27="(bitte eintragen)",0,C27*E27)</f>
        <v>0</v>
      </c>
    </row>
    <row r="28" spans="1:117" x14ac:dyDescent="0.3">
      <c r="B28" t="s">
        <v>39</v>
      </c>
      <c r="C28" s="34" t="s">
        <v>58</v>
      </c>
      <c r="D28" t="s">
        <v>51</v>
      </c>
      <c r="E28" s="20">
        <v>5.2789999999999997E-2</v>
      </c>
      <c r="F28" s="35">
        <f t="shared" si="3"/>
        <v>0</v>
      </c>
    </row>
    <row r="29" spans="1:117" x14ac:dyDescent="0.3">
      <c r="B29" t="s">
        <v>39</v>
      </c>
      <c r="C29" s="34" t="s">
        <v>58</v>
      </c>
      <c r="D29" t="s">
        <v>32</v>
      </c>
      <c r="E29" s="20">
        <v>7.9200000000000001E-5</v>
      </c>
      <c r="F29" s="35">
        <f t="shared" si="2"/>
        <v>0</v>
      </c>
    </row>
    <row r="30" spans="1:117" x14ac:dyDescent="0.3">
      <c r="B30" t="s">
        <v>74</v>
      </c>
      <c r="C30" s="34" t="s">
        <v>58</v>
      </c>
      <c r="D30" t="s">
        <v>51</v>
      </c>
      <c r="E30" s="20">
        <v>6.5775E-2</v>
      </c>
      <c r="F30" s="35">
        <f t="shared" si="2"/>
        <v>0</v>
      </c>
    </row>
    <row r="31" spans="1:117" x14ac:dyDescent="0.3">
      <c r="B31" t="s">
        <v>75</v>
      </c>
      <c r="C31" s="34" t="s">
        <v>58</v>
      </c>
      <c r="D31" t="s">
        <v>51</v>
      </c>
      <c r="E31" s="20">
        <v>0.101897</v>
      </c>
      <c r="F31" s="35">
        <f t="shared" si="2"/>
        <v>0</v>
      </c>
    </row>
    <row r="32" spans="1:117" x14ac:dyDescent="0.3">
      <c r="B32" t="s">
        <v>76</v>
      </c>
      <c r="C32" s="34" t="s">
        <v>58</v>
      </c>
      <c r="D32" t="s">
        <v>32</v>
      </c>
      <c r="E32" s="20">
        <v>2.9500000000000001E-4</v>
      </c>
      <c r="F32" s="35">
        <f t="shared" si="2"/>
        <v>0</v>
      </c>
    </row>
    <row r="33" spans="1:117" x14ac:dyDescent="0.3">
      <c r="B33" t="s">
        <v>36</v>
      </c>
      <c r="C33" s="34" t="s">
        <v>58</v>
      </c>
      <c r="D33" t="s">
        <v>59</v>
      </c>
      <c r="E33" s="20">
        <v>3.052E-3</v>
      </c>
      <c r="F33" s="35">
        <f t="shared" si="2"/>
        <v>0</v>
      </c>
    </row>
    <row r="34" spans="1:117" x14ac:dyDescent="0.3">
      <c r="B34" t="s">
        <v>77</v>
      </c>
      <c r="C34" s="34" t="s">
        <v>58</v>
      </c>
      <c r="D34" t="s">
        <v>32</v>
      </c>
      <c r="E34" s="20">
        <v>4.4200000000000001E-4</v>
      </c>
      <c r="F34" s="35">
        <f t="shared" si="2"/>
        <v>0</v>
      </c>
    </row>
    <row r="35" spans="1:117" x14ac:dyDescent="0.3">
      <c r="B35" t="s">
        <v>78</v>
      </c>
      <c r="C35" s="34" t="s">
        <v>58</v>
      </c>
      <c r="D35" t="s">
        <v>32</v>
      </c>
      <c r="E35" s="20">
        <v>4.2900000000000002E-4</v>
      </c>
      <c r="F35" s="35">
        <f t="shared" si="2"/>
        <v>0</v>
      </c>
    </row>
    <row r="36" spans="1:117" s="33" customFormat="1" x14ac:dyDescent="0.3">
      <c r="A36" s="30" t="s">
        <v>31</v>
      </c>
      <c r="B36" s="31"/>
      <c r="C36" s="31"/>
      <c r="D36" s="31"/>
      <c r="E36" s="32"/>
      <c r="F36" s="32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</row>
    <row r="37" spans="1:117" x14ac:dyDescent="0.3">
      <c r="B37" t="s">
        <v>79</v>
      </c>
      <c r="C37" s="34" t="s">
        <v>58</v>
      </c>
      <c r="D37" t="s">
        <v>32</v>
      </c>
      <c r="E37" s="20">
        <v>4.35E-4</v>
      </c>
      <c r="F37" s="35">
        <f>IF(C37="(bitte eintragen)",0,C37*E37)</f>
        <v>0</v>
      </c>
    </row>
    <row r="38" spans="1:117" x14ac:dyDescent="0.3">
      <c r="B38" t="s">
        <v>80</v>
      </c>
      <c r="C38" s="34" t="s">
        <v>58</v>
      </c>
      <c r="D38" t="s">
        <v>32</v>
      </c>
      <c r="E38" s="20">
        <v>5.5699999999999999E-5</v>
      </c>
      <c r="F38" s="35">
        <f t="shared" ref="F38:F41" si="4">IF(C38="(bitte eintragen)",0,C38*E38)</f>
        <v>0</v>
      </c>
    </row>
    <row r="39" spans="1:117" x14ac:dyDescent="0.3">
      <c r="B39" t="s">
        <v>81</v>
      </c>
      <c r="C39" s="34" t="s">
        <v>58</v>
      </c>
      <c r="D39" t="s">
        <v>32</v>
      </c>
      <c r="E39" s="20">
        <v>1.07E-4</v>
      </c>
      <c r="F39" s="35">
        <f t="shared" si="4"/>
        <v>0</v>
      </c>
    </row>
    <row r="40" spans="1:117" s="33" customFormat="1" x14ac:dyDescent="0.3">
      <c r="A40" s="30" t="s">
        <v>104</v>
      </c>
      <c r="B40" s="31"/>
      <c r="C40" s="31"/>
      <c r="D40" s="31"/>
      <c r="E40" s="32"/>
      <c r="F40" s="32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</row>
    <row r="41" spans="1:117" x14ac:dyDescent="0.3">
      <c r="B41" t="s">
        <v>105</v>
      </c>
      <c r="C41" s="34"/>
      <c r="D41" t="s">
        <v>59</v>
      </c>
      <c r="E41" s="20">
        <v>2.4200000000000001E-6</v>
      </c>
      <c r="F41" s="36">
        <f t="shared" si="4"/>
        <v>0</v>
      </c>
    </row>
    <row r="42" spans="1:117" s="38" customFormat="1" ht="18" x14ac:dyDescent="0.35">
      <c r="A42" s="26" t="s">
        <v>82</v>
      </c>
      <c r="B42" s="26"/>
      <c r="C42" s="26"/>
      <c r="D42" s="26"/>
      <c r="E42" s="28"/>
      <c r="F42" s="37">
        <f>SUM(F5:F41)</f>
        <v>0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</row>
    <row r="43" spans="1:117" x14ac:dyDescent="0.3">
      <c r="F43" s="35"/>
    </row>
    <row r="44" spans="1:117" x14ac:dyDescent="0.3">
      <c r="F44" s="35"/>
    </row>
    <row r="46" spans="1:117" x14ac:dyDescent="0.3">
      <c r="A46" s="80" t="s">
        <v>127</v>
      </c>
      <c r="B46" s="80"/>
      <c r="C46" s="81" t="s">
        <v>128</v>
      </c>
      <c r="D46" s="80" t="s">
        <v>129</v>
      </c>
    </row>
    <row r="47" spans="1:117" x14ac:dyDescent="0.3">
      <c r="A47" s="82" t="s">
        <v>130</v>
      </c>
      <c r="B47" s="80"/>
      <c r="C47" s="81"/>
      <c r="D47" s="80"/>
    </row>
    <row r="48" spans="1:117" x14ac:dyDescent="0.3">
      <c r="A48" s="83" t="s">
        <v>131</v>
      </c>
      <c r="B48" s="83"/>
      <c r="C48" s="84">
        <v>0.18385000000000001</v>
      </c>
      <c r="D48" s="83" t="s">
        <v>132</v>
      </c>
    </row>
    <row r="49" spans="1:4" x14ac:dyDescent="0.3">
      <c r="A49" s="83" t="s">
        <v>131</v>
      </c>
      <c r="B49" s="83"/>
      <c r="C49" s="84">
        <v>2.0305300000000002</v>
      </c>
      <c r="D49" s="83" t="s">
        <v>133</v>
      </c>
    </row>
    <row r="50" spans="1:4" x14ac:dyDescent="0.3">
      <c r="A50" s="83" t="s">
        <v>134</v>
      </c>
      <c r="B50" s="83"/>
      <c r="C50" s="84">
        <v>3.1796600000000002</v>
      </c>
      <c r="D50" s="83" t="s">
        <v>135</v>
      </c>
    </row>
    <row r="51" spans="1:4" x14ac:dyDescent="0.3">
      <c r="A51" s="83" t="s">
        <v>134</v>
      </c>
      <c r="B51" s="83"/>
      <c r="C51" s="84">
        <v>0.26782</v>
      </c>
      <c r="D51" s="83" t="s">
        <v>132</v>
      </c>
    </row>
    <row r="52" spans="1:4" x14ac:dyDescent="0.3">
      <c r="A52" s="83"/>
      <c r="B52" s="83"/>
      <c r="C52" s="84"/>
      <c r="D52" s="83"/>
    </row>
    <row r="53" spans="1:4" x14ac:dyDescent="0.3">
      <c r="A53" s="82" t="s">
        <v>136</v>
      </c>
      <c r="B53" s="83"/>
      <c r="C53" s="84"/>
      <c r="D53" s="83"/>
    </row>
    <row r="54" spans="1:4" x14ac:dyDescent="0.3">
      <c r="A54" s="83" t="s">
        <v>37</v>
      </c>
      <c r="B54" s="83"/>
      <c r="C54" s="84">
        <v>2.6869700000000001</v>
      </c>
      <c r="D54" s="83" t="s">
        <v>135</v>
      </c>
    </row>
    <row r="55" spans="1:4" x14ac:dyDescent="0.3">
      <c r="A55" s="83" t="s">
        <v>38</v>
      </c>
      <c r="B55" s="83"/>
      <c r="C55" s="84">
        <v>2.3149500000000001</v>
      </c>
      <c r="D55" s="83" t="s">
        <v>135</v>
      </c>
    </row>
    <row r="56" spans="1:4" x14ac:dyDescent="0.3">
      <c r="A56" s="83" t="s">
        <v>137</v>
      </c>
      <c r="B56" s="83"/>
      <c r="C56" s="84">
        <v>1.5226</v>
      </c>
      <c r="D56" s="83" t="s">
        <v>135</v>
      </c>
    </row>
    <row r="57" spans="1:4" x14ac:dyDescent="0.3">
      <c r="A57" s="83" t="s">
        <v>138</v>
      </c>
      <c r="B57" s="83"/>
      <c r="C57" s="84">
        <v>2.5419999999999998</v>
      </c>
      <c r="D57" s="83" t="s">
        <v>139</v>
      </c>
    </row>
    <row r="58" spans="1:4" ht="15.6" x14ac:dyDescent="0.3">
      <c r="A58" s="83" t="s">
        <v>140</v>
      </c>
      <c r="B58" s="83"/>
      <c r="C58" s="85">
        <v>3.3000000000000002E-2</v>
      </c>
      <c r="D58" s="83" t="s">
        <v>135</v>
      </c>
    </row>
    <row r="59" spans="1:4" x14ac:dyDescent="0.3">
      <c r="A59" s="83" t="s">
        <v>141</v>
      </c>
      <c r="B59" s="83"/>
      <c r="C59" s="84">
        <v>8.0000000000000002E-3</v>
      </c>
      <c r="D59" s="83" t="s">
        <v>135</v>
      </c>
    </row>
    <row r="60" spans="1:4" x14ac:dyDescent="0.3">
      <c r="A60" s="83" t="s">
        <v>142</v>
      </c>
      <c r="B60" s="83"/>
      <c r="C60" s="84">
        <v>0.16500000000000001</v>
      </c>
      <c r="D60" s="83" t="s">
        <v>143</v>
      </c>
    </row>
    <row r="61" spans="1:4" x14ac:dyDescent="0.3">
      <c r="A61" s="83" t="s">
        <v>144</v>
      </c>
      <c r="B61" s="83"/>
      <c r="C61" s="84">
        <v>0.79127999999999998</v>
      </c>
      <c r="D61" s="83" t="s">
        <v>143</v>
      </c>
    </row>
    <row r="62" spans="1:4" x14ac:dyDescent="0.3">
      <c r="A62" s="83"/>
      <c r="B62" s="83"/>
      <c r="C62" s="84"/>
      <c r="D62" s="83"/>
    </row>
    <row r="63" spans="1:4" x14ac:dyDescent="0.3">
      <c r="A63" s="82" t="s">
        <v>145</v>
      </c>
      <c r="B63" s="83"/>
      <c r="C63" s="84"/>
      <c r="D63" s="83"/>
    </row>
    <row r="64" spans="1:4" x14ac:dyDescent="0.3">
      <c r="A64" s="86" t="s">
        <v>146</v>
      </c>
      <c r="B64" s="87"/>
      <c r="C64" s="88">
        <v>1</v>
      </c>
      <c r="D64" s="87" t="s">
        <v>139</v>
      </c>
    </row>
    <row r="65" spans="1:4" x14ac:dyDescent="0.3">
      <c r="A65" s="86" t="s">
        <v>147</v>
      </c>
      <c r="B65" s="87"/>
      <c r="C65" s="88">
        <v>1400</v>
      </c>
      <c r="D65" s="87" t="s">
        <v>139</v>
      </c>
    </row>
    <row r="66" spans="1:4" x14ac:dyDescent="0.3">
      <c r="A66" s="86" t="s">
        <v>148</v>
      </c>
      <c r="B66" s="87"/>
      <c r="C66" s="88">
        <v>4750</v>
      </c>
      <c r="D66" s="87" t="s">
        <v>139</v>
      </c>
    </row>
    <row r="67" spans="1:4" x14ac:dyDescent="0.3">
      <c r="A67" s="86" t="s">
        <v>149</v>
      </c>
      <c r="B67" s="87"/>
      <c r="C67" s="88">
        <v>6130</v>
      </c>
      <c r="D67" s="87" t="s">
        <v>139</v>
      </c>
    </row>
    <row r="68" spans="1:4" x14ac:dyDescent="0.3">
      <c r="A68" s="86" t="s">
        <v>150</v>
      </c>
      <c r="B68" s="87"/>
      <c r="C68" s="88">
        <v>10000</v>
      </c>
      <c r="D68" s="87" t="s">
        <v>139</v>
      </c>
    </row>
    <row r="69" spans="1:4" x14ac:dyDescent="0.3">
      <c r="A69" s="86" t="s">
        <v>151</v>
      </c>
      <c r="B69" s="87"/>
      <c r="C69" s="88">
        <v>7370</v>
      </c>
      <c r="D69" s="87" t="s">
        <v>139</v>
      </c>
    </row>
    <row r="70" spans="1:4" x14ac:dyDescent="0.3">
      <c r="A70" s="86" t="s">
        <v>152</v>
      </c>
      <c r="B70" s="87"/>
      <c r="C70" s="88">
        <v>10900</v>
      </c>
      <c r="D70" s="87" t="s">
        <v>139</v>
      </c>
    </row>
    <row r="71" spans="1:4" x14ac:dyDescent="0.3">
      <c r="A71" s="86" t="s">
        <v>153</v>
      </c>
      <c r="B71" s="87"/>
      <c r="C71" s="88">
        <v>14400</v>
      </c>
      <c r="D71" s="87" t="s">
        <v>139</v>
      </c>
    </row>
    <row r="72" spans="1:4" x14ac:dyDescent="0.3">
      <c r="A72" s="86" t="s">
        <v>154</v>
      </c>
      <c r="B72" s="87"/>
      <c r="C72" s="88">
        <v>1</v>
      </c>
      <c r="D72" s="87" t="s">
        <v>139</v>
      </c>
    </row>
    <row r="73" spans="1:4" x14ac:dyDescent="0.3">
      <c r="A73" s="86" t="s">
        <v>155</v>
      </c>
      <c r="B73" s="87"/>
      <c r="C73" s="88">
        <v>1890</v>
      </c>
      <c r="D73" s="87" t="s">
        <v>139</v>
      </c>
    </row>
    <row r="74" spans="1:4" x14ac:dyDescent="0.3">
      <c r="A74" s="86" t="s">
        <v>156</v>
      </c>
      <c r="B74" s="87"/>
      <c r="C74" s="88">
        <v>7140</v>
      </c>
      <c r="D74" s="87" t="s">
        <v>139</v>
      </c>
    </row>
    <row r="75" spans="1:4" x14ac:dyDescent="0.3">
      <c r="A75" s="86" t="s">
        <v>157</v>
      </c>
      <c r="B75" s="87"/>
      <c r="C75" s="88">
        <v>1640</v>
      </c>
      <c r="D75" s="87" t="s">
        <v>139</v>
      </c>
    </row>
    <row r="76" spans="1:4" x14ac:dyDescent="0.3">
      <c r="A76" s="86" t="s">
        <v>158</v>
      </c>
      <c r="B76" s="87"/>
      <c r="C76" s="88">
        <v>77</v>
      </c>
      <c r="D76" s="87" t="s">
        <v>139</v>
      </c>
    </row>
    <row r="77" spans="1:4" x14ac:dyDescent="0.3">
      <c r="A77" s="86" t="s">
        <v>159</v>
      </c>
      <c r="B77" s="87"/>
      <c r="C77" s="88">
        <v>609</v>
      </c>
      <c r="D77" s="87" t="s">
        <v>139</v>
      </c>
    </row>
    <row r="78" spans="1:4" x14ac:dyDescent="0.3">
      <c r="A78" s="86" t="s">
        <v>160</v>
      </c>
      <c r="B78" s="87"/>
      <c r="C78" s="88">
        <v>725</v>
      </c>
      <c r="D78" s="87" t="s">
        <v>139</v>
      </c>
    </row>
    <row r="79" spans="1:4" x14ac:dyDescent="0.3">
      <c r="A79" s="86" t="s">
        <v>161</v>
      </c>
      <c r="B79" s="87"/>
      <c r="C79" s="88">
        <v>2310</v>
      </c>
      <c r="D79" s="87" t="s">
        <v>139</v>
      </c>
    </row>
    <row r="80" spans="1:4" x14ac:dyDescent="0.3">
      <c r="A80" s="86" t="s">
        <v>162</v>
      </c>
      <c r="B80" s="87"/>
      <c r="C80" s="88">
        <v>1810</v>
      </c>
      <c r="D80" s="87" t="s">
        <v>139</v>
      </c>
    </row>
    <row r="81" spans="1:4" x14ac:dyDescent="0.3">
      <c r="A81" s="86" t="s">
        <v>163</v>
      </c>
      <c r="B81" s="87"/>
      <c r="C81" s="88">
        <v>122</v>
      </c>
      <c r="D81" s="87" t="s">
        <v>139</v>
      </c>
    </row>
    <row r="82" spans="1:4" x14ac:dyDescent="0.3">
      <c r="A82" s="86" t="s">
        <v>164</v>
      </c>
      <c r="B82" s="87"/>
      <c r="C82" s="88">
        <v>595</v>
      </c>
      <c r="D82" s="87" t="s">
        <v>139</v>
      </c>
    </row>
    <row r="83" spans="1:4" x14ac:dyDescent="0.3">
      <c r="A83" s="86" t="s">
        <v>165</v>
      </c>
      <c r="B83" s="87"/>
      <c r="C83" s="88">
        <v>350</v>
      </c>
      <c r="D83" s="87" t="s">
        <v>139</v>
      </c>
    </row>
    <row r="84" spans="1:4" x14ac:dyDescent="0.3">
      <c r="A84" s="86" t="s">
        <v>166</v>
      </c>
      <c r="B84" s="87"/>
      <c r="C84" s="88">
        <v>2800</v>
      </c>
      <c r="D84" s="87" t="s">
        <v>139</v>
      </c>
    </row>
    <row r="85" spans="1:4" x14ac:dyDescent="0.3">
      <c r="A85" s="86" t="s">
        <v>167</v>
      </c>
      <c r="B85" s="87"/>
      <c r="C85" s="88">
        <v>1000</v>
      </c>
      <c r="D85" s="87" t="s">
        <v>139</v>
      </c>
    </row>
    <row r="86" spans="1:4" x14ac:dyDescent="0.3">
      <c r="A86" s="86" t="s">
        <v>168</v>
      </c>
      <c r="B86" s="87"/>
      <c r="C86" s="88">
        <v>1300</v>
      </c>
      <c r="D86" s="87" t="s">
        <v>139</v>
      </c>
    </row>
    <row r="87" spans="1:4" x14ac:dyDescent="0.3">
      <c r="A87" s="86" t="s">
        <v>169</v>
      </c>
      <c r="B87" s="87"/>
      <c r="C87" s="88">
        <v>300</v>
      </c>
      <c r="D87" s="87" t="s">
        <v>139</v>
      </c>
    </row>
    <row r="88" spans="1:4" x14ac:dyDescent="0.3">
      <c r="A88" s="86" t="s">
        <v>170</v>
      </c>
      <c r="B88" s="87"/>
      <c r="C88" s="88">
        <v>3800</v>
      </c>
      <c r="D88" s="87" t="s">
        <v>139</v>
      </c>
    </row>
    <row r="89" spans="1:4" x14ac:dyDescent="0.3">
      <c r="A89" s="86" t="s">
        <v>171</v>
      </c>
      <c r="B89" s="87"/>
      <c r="C89" s="88">
        <v>140</v>
      </c>
      <c r="D89" s="87" t="s">
        <v>139</v>
      </c>
    </row>
    <row r="90" spans="1:4" x14ac:dyDescent="0.3">
      <c r="A90" s="86" t="s">
        <v>172</v>
      </c>
      <c r="B90" s="87"/>
      <c r="C90" s="88">
        <v>2900</v>
      </c>
      <c r="D90" s="87" t="s">
        <v>139</v>
      </c>
    </row>
    <row r="91" spans="1:4" x14ac:dyDescent="0.3">
      <c r="A91" s="86" t="s">
        <v>173</v>
      </c>
      <c r="B91" s="87"/>
      <c r="C91" s="88">
        <v>11700</v>
      </c>
      <c r="D91" s="87" t="s">
        <v>139</v>
      </c>
    </row>
    <row r="92" spans="1:4" x14ac:dyDescent="0.3">
      <c r="A92" s="86" t="s">
        <v>174</v>
      </c>
      <c r="B92" s="87"/>
      <c r="C92" s="88">
        <v>6300</v>
      </c>
      <c r="D92" s="87" t="s">
        <v>139</v>
      </c>
    </row>
    <row r="93" spans="1:4" x14ac:dyDescent="0.3">
      <c r="A93" s="86" t="s">
        <v>175</v>
      </c>
      <c r="B93" s="87"/>
      <c r="C93" s="88">
        <v>560</v>
      </c>
      <c r="D93" s="87" t="s">
        <v>139</v>
      </c>
    </row>
    <row r="94" spans="1:4" x14ac:dyDescent="0.3">
      <c r="A94" s="86" t="s">
        <v>176</v>
      </c>
      <c r="B94" s="87"/>
      <c r="C94" s="88">
        <v>650</v>
      </c>
      <c r="D94" s="87" t="s">
        <v>139</v>
      </c>
    </row>
    <row r="95" spans="1:4" x14ac:dyDescent="0.3">
      <c r="A95" s="86" t="s">
        <v>177</v>
      </c>
      <c r="B95" s="87"/>
      <c r="C95" s="88">
        <v>150</v>
      </c>
      <c r="D95" s="87" t="s">
        <v>139</v>
      </c>
    </row>
    <row r="96" spans="1:4" x14ac:dyDescent="0.3">
      <c r="A96" s="86" t="s">
        <v>178</v>
      </c>
      <c r="B96" s="89"/>
      <c r="C96" s="88">
        <v>1300</v>
      </c>
      <c r="D96" s="87" t="s">
        <v>139</v>
      </c>
    </row>
    <row r="97" spans="1:4" x14ac:dyDescent="0.3">
      <c r="A97" s="86" t="s">
        <v>179</v>
      </c>
      <c r="B97" s="89"/>
      <c r="C97" s="88">
        <v>14900</v>
      </c>
      <c r="D97" s="87" t="s">
        <v>139</v>
      </c>
    </row>
    <row r="98" spans="1:4" x14ac:dyDescent="0.3">
      <c r="A98" s="86" t="s">
        <v>180</v>
      </c>
      <c r="B98" s="89"/>
      <c r="C98" s="88">
        <v>6320</v>
      </c>
      <c r="D98" s="87" t="s">
        <v>139</v>
      </c>
    </row>
    <row r="99" spans="1:4" x14ac:dyDescent="0.3">
      <c r="A99" s="86" t="s">
        <v>181</v>
      </c>
      <c r="B99" s="89"/>
      <c r="C99" s="88">
        <v>756</v>
      </c>
      <c r="D99" s="87" t="s">
        <v>139</v>
      </c>
    </row>
    <row r="100" spans="1:4" x14ac:dyDescent="0.3">
      <c r="A100" s="86" t="s">
        <v>182</v>
      </c>
      <c r="B100" s="89"/>
      <c r="C100" s="88">
        <v>2800</v>
      </c>
      <c r="D100" s="87" t="s">
        <v>139</v>
      </c>
    </row>
    <row r="101" spans="1:4" x14ac:dyDescent="0.3">
      <c r="A101" s="86" t="s">
        <v>183</v>
      </c>
      <c r="B101" s="89"/>
      <c r="C101" s="88">
        <v>708</v>
      </c>
      <c r="D101" s="87" t="s">
        <v>139</v>
      </c>
    </row>
    <row r="102" spans="1:4" x14ac:dyDescent="0.3">
      <c r="A102" s="86" t="s">
        <v>184</v>
      </c>
      <c r="B102" s="89"/>
      <c r="C102" s="88">
        <v>659</v>
      </c>
      <c r="D102" s="87" t="s">
        <v>139</v>
      </c>
    </row>
    <row r="103" spans="1:4" x14ac:dyDescent="0.3">
      <c r="A103" s="86" t="s">
        <v>185</v>
      </c>
      <c r="B103" s="89"/>
      <c r="C103" s="88">
        <v>359</v>
      </c>
      <c r="D103" s="87" t="s">
        <v>139</v>
      </c>
    </row>
    <row r="104" spans="1:4" x14ac:dyDescent="0.3">
      <c r="A104" s="86" t="s">
        <v>186</v>
      </c>
      <c r="B104" s="89"/>
      <c r="C104" s="88">
        <v>1500</v>
      </c>
      <c r="D104" s="87" t="s">
        <v>139</v>
      </c>
    </row>
    <row r="105" spans="1:4" x14ac:dyDescent="0.3">
      <c r="A105" s="86" t="s">
        <v>187</v>
      </c>
      <c r="B105" s="89"/>
      <c r="C105" s="88">
        <v>575</v>
      </c>
      <c r="D105" s="87" t="s">
        <v>139</v>
      </c>
    </row>
    <row r="106" spans="1:4" x14ac:dyDescent="0.3">
      <c r="A106" s="86" t="s">
        <v>188</v>
      </c>
      <c r="B106" s="89"/>
      <c r="C106" s="88">
        <v>580</v>
      </c>
      <c r="D106" s="87" t="s">
        <v>139</v>
      </c>
    </row>
    <row r="107" spans="1:4" x14ac:dyDescent="0.3">
      <c r="A107" s="86" t="s">
        <v>189</v>
      </c>
      <c r="B107" s="89"/>
      <c r="C107" s="88">
        <v>110</v>
      </c>
      <c r="D107" s="87" t="s">
        <v>139</v>
      </c>
    </row>
    <row r="108" spans="1:4" x14ac:dyDescent="0.3">
      <c r="A108" s="86" t="s">
        <v>190</v>
      </c>
      <c r="B108" s="89"/>
      <c r="C108" s="88">
        <v>1870</v>
      </c>
      <c r="D108" s="87" t="s">
        <v>139</v>
      </c>
    </row>
    <row r="109" spans="1:4" x14ac:dyDescent="0.3">
      <c r="A109" s="86" t="s">
        <v>191</v>
      </c>
      <c r="B109" s="89"/>
      <c r="C109" s="88">
        <v>297</v>
      </c>
      <c r="D109" s="87" t="s">
        <v>139</v>
      </c>
    </row>
    <row r="110" spans="1:4" x14ac:dyDescent="0.3">
      <c r="A110" s="86" t="s">
        <v>192</v>
      </c>
      <c r="B110" s="89"/>
      <c r="C110" s="88">
        <v>59</v>
      </c>
      <c r="D110" s="87" t="s">
        <v>139</v>
      </c>
    </row>
    <row r="111" spans="1:4" x14ac:dyDescent="0.3">
      <c r="A111" s="86" t="s">
        <v>193</v>
      </c>
      <c r="B111" s="89"/>
      <c r="C111" s="88">
        <v>21</v>
      </c>
      <c r="D111" s="87" t="s">
        <v>139</v>
      </c>
    </row>
    <row r="112" spans="1:4" x14ac:dyDescent="0.3">
      <c r="A112" s="86" t="s">
        <v>194</v>
      </c>
      <c r="B112" s="89"/>
      <c r="C112" s="88">
        <v>5</v>
      </c>
      <c r="D112" s="87" t="s">
        <v>139</v>
      </c>
    </row>
    <row r="113" spans="1:4" x14ac:dyDescent="0.3">
      <c r="A113" s="86" t="s">
        <v>195</v>
      </c>
      <c r="B113" s="89"/>
      <c r="C113" s="88">
        <v>13</v>
      </c>
      <c r="D113" s="87" t="s">
        <v>139</v>
      </c>
    </row>
    <row r="114" spans="1:4" x14ac:dyDescent="0.3">
      <c r="A114" s="86" t="s">
        <v>196</v>
      </c>
      <c r="B114" s="89"/>
      <c r="C114" s="88">
        <v>146</v>
      </c>
      <c r="D114" s="87" t="s">
        <v>139</v>
      </c>
    </row>
    <row r="115" spans="1:4" x14ac:dyDescent="0.3">
      <c r="A115" s="86" t="s">
        <v>197</v>
      </c>
      <c r="B115" s="89"/>
      <c r="C115" s="88">
        <v>8.6999999999999993</v>
      </c>
      <c r="D115" s="87" t="s">
        <v>139</v>
      </c>
    </row>
    <row r="116" spans="1:4" x14ac:dyDescent="0.3">
      <c r="A116" s="86" t="s">
        <v>198</v>
      </c>
      <c r="B116" s="89"/>
      <c r="C116" s="88">
        <v>298</v>
      </c>
      <c r="D116" s="87" t="s">
        <v>139</v>
      </c>
    </row>
    <row r="117" spans="1:4" x14ac:dyDescent="0.3">
      <c r="A117" s="86" t="s">
        <v>199</v>
      </c>
      <c r="B117" s="89"/>
      <c r="C117" s="88">
        <v>0</v>
      </c>
      <c r="D117" s="87" t="s">
        <v>139</v>
      </c>
    </row>
    <row r="118" spans="1:4" x14ac:dyDescent="0.3">
      <c r="A118" s="86" t="s">
        <v>200</v>
      </c>
      <c r="B118" s="89"/>
      <c r="C118" s="88">
        <v>17200</v>
      </c>
      <c r="D118" s="87" t="s">
        <v>139</v>
      </c>
    </row>
    <row r="119" spans="1:4" x14ac:dyDescent="0.3">
      <c r="A119" s="86" t="s">
        <v>201</v>
      </c>
      <c r="B119" s="89"/>
      <c r="C119" s="88">
        <v>310</v>
      </c>
      <c r="D119" s="87" t="s">
        <v>139</v>
      </c>
    </row>
    <row r="120" spans="1:4" x14ac:dyDescent="0.3">
      <c r="A120" s="86" t="s">
        <v>202</v>
      </c>
      <c r="B120" s="89"/>
      <c r="C120" s="88">
        <v>7000</v>
      </c>
      <c r="D120" s="87" t="s">
        <v>139</v>
      </c>
    </row>
    <row r="121" spans="1:4" x14ac:dyDescent="0.3">
      <c r="A121" s="86" t="s">
        <v>203</v>
      </c>
      <c r="B121" s="89"/>
      <c r="C121" s="88">
        <v>8700</v>
      </c>
      <c r="D121" s="87" t="s">
        <v>139</v>
      </c>
    </row>
    <row r="122" spans="1:4" x14ac:dyDescent="0.3">
      <c r="A122" s="86" t="s">
        <v>204</v>
      </c>
      <c r="B122" s="89"/>
      <c r="C122" s="88">
        <v>9200</v>
      </c>
      <c r="D122" s="87" t="s">
        <v>139</v>
      </c>
    </row>
    <row r="123" spans="1:4" x14ac:dyDescent="0.3">
      <c r="A123" s="86" t="s">
        <v>205</v>
      </c>
      <c r="B123" s="89"/>
      <c r="C123" s="88">
        <v>7400</v>
      </c>
      <c r="D123" s="87" t="s">
        <v>139</v>
      </c>
    </row>
    <row r="124" spans="1:4" x14ac:dyDescent="0.3">
      <c r="A124" s="86" t="s">
        <v>206</v>
      </c>
      <c r="B124" s="89"/>
      <c r="C124" s="88">
        <v>6500</v>
      </c>
      <c r="D124" s="87" t="s">
        <v>139</v>
      </c>
    </row>
    <row r="125" spans="1:4" x14ac:dyDescent="0.3">
      <c r="A125" s="86" t="s">
        <v>207</v>
      </c>
      <c r="B125" s="89"/>
      <c r="C125" s="88">
        <v>7500</v>
      </c>
      <c r="D125" s="87" t="s">
        <v>139</v>
      </c>
    </row>
    <row r="126" spans="1:4" x14ac:dyDescent="0.3">
      <c r="A126" s="86" t="s">
        <v>208</v>
      </c>
      <c r="B126" s="89"/>
      <c r="C126" s="88">
        <v>7000</v>
      </c>
      <c r="D126" s="87" t="s">
        <v>139</v>
      </c>
    </row>
    <row r="127" spans="1:4" x14ac:dyDescent="0.3">
      <c r="A127" s="86" t="s">
        <v>209</v>
      </c>
      <c r="B127" s="89"/>
      <c r="C127" s="88">
        <v>7500</v>
      </c>
      <c r="D127" s="87" t="s">
        <v>139</v>
      </c>
    </row>
    <row r="128" spans="1:4" x14ac:dyDescent="0.3">
      <c r="A128" s="86" t="s">
        <v>210</v>
      </c>
      <c r="B128" s="89"/>
      <c r="C128" s="88">
        <v>10300</v>
      </c>
      <c r="D128" s="87" t="s">
        <v>139</v>
      </c>
    </row>
    <row r="129" spans="1:4" x14ac:dyDescent="0.3">
      <c r="A129" s="86" t="s">
        <v>211</v>
      </c>
      <c r="B129" s="89"/>
      <c r="C129" s="88">
        <v>4</v>
      </c>
      <c r="D129" s="87" t="s">
        <v>139</v>
      </c>
    </row>
    <row r="130" spans="1:4" x14ac:dyDescent="0.3">
      <c r="A130" s="86" t="s">
        <v>212</v>
      </c>
      <c r="B130" s="89"/>
      <c r="C130" s="88">
        <v>6</v>
      </c>
      <c r="D130" s="87" t="s">
        <v>139</v>
      </c>
    </row>
    <row r="131" spans="1:4" x14ac:dyDescent="0.3">
      <c r="A131" s="86" t="s">
        <v>63</v>
      </c>
      <c r="B131" s="89"/>
      <c r="C131" s="88">
        <v>1810</v>
      </c>
      <c r="D131" s="87" t="s">
        <v>139</v>
      </c>
    </row>
    <row r="132" spans="1:4" x14ac:dyDescent="0.3">
      <c r="A132" s="86" t="s">
        <v>213</v>
      </c>
      <c r="B132" s="89"/>
      <c r="C132" s="88">
        <v>675</v>
      </c>
      <c r="D132" s="87" t="s">
        <v>139</v>
      </c>
    </row>
    <row r="133" spans="1:4" x14ac:dyDescent="0.3">
      <c r="A133" s="86" t="s">
        <v>214</v>
      </c>
      <c r="B133" s="89"/>
      <c r="C133" s="88">
        <v>3.3</v>
      </c>
      <c r="D133" s="87" t="s">
        <v>139</v>
      </c>
    </row>
    <row r="134" spans="1:4" x14ac:dyDescent="0.3">
      <c r="A134" s="86" t="s">
        <v>65</v>
      </c>
      <c r="B134" s="89"/>
      <c r="C134" s="88">
        <v>3260</v>
      </c>
      <c r="D134" s="87" t="s">
        <v>139</v>
      </c>
    </row>
    <row r="135" spans="1:4" x14ac:dyDescent="0.3">
      <c r="A135" s="86" t="s">
        <v>215</v>
      </c>
      <c r="B135" s="89"/>
      <c r="C135" s="88">
        <v>1943</v>
      </c>
      <c r="D135" s="87" t="s">
        <v>139</v>
      </c>
    </row>
    <row r="136" spans="1:4" x14ac:dyDescent="0.3">
      <c r="A136" s="86" t="s">
        <v>216</v>
      </c>
      <c r="B136" s="89"/>
      <c r="C136" s="88">
        <v>1770</v>
      </c>
      <c r="D136" s="87" t="s">
        <v>139</v>
      </c>
    </row>
    <row r="137" spans="1:4" x14ac:dyDescent="0.3">
      <c r="A137" s="86" t="s">
        <v>67</v>
      </c>
      <c r="B137" s="89"/>
      <c r="C137" s="88">
        <v>1526</v>
      </c>
      <c r="D137" s="87" t="s">
        <v>139</v>
      </c>
    </row>
    <row r="138" spans="1:4" x14ac:dyDescent="0.3">
      <c r="A138" s="86" t="s">
        <v>68</v>
      </c>
      <c r="B138" s="89"/>
      <c r="C138" s="88">
        <v>1555</v>
      </c>
      <c r="D138" s="87" t="s">
        <v>139</v>
      </c>
    </row>
    <row r="139" spans="1:4" x14ac:dyDescent="0.3">
      <c r="A139" s="86" t="s">
        <v>217</v>
      </c>
      <c r="B139" s="89"/>
      <c r="C139" s="88">
        <v>2795</v>
      </c>
      <c r="D139" s="87" t="s">
        <v>139</v>
      </c>
    </row>
    <row r="140" spans="1:4" x14ac:dyDescent="0.3">
      <c r="A140" s="86" t="s">
        <v>218</v>
      </c>
      <c r="B140" s="89"/>
      <c r="C140" s="88">
        <v>1585</v>
      </c>
      <c r="D140" s="87" t="s">
        <v>139</v>
      </c>
    </row>
    <row r="141" spans="1:4" x14ac:dyDescent="0.3">
      <c r="A141" s="86" t="s">
        <v>66</v>
      </c>
      <c r="B141" s="89"/>
      <c r="C141" s="88">
        <v>1725</v>
      </c>
      <c r="D141" s="87" t="s">
        <v>139</v>
      </c>
    </row>
    <row r="142" spans="1:4" x14ac:dyDescent="0.3">
      <c r="A142" s="86" t="s">
        <v>219</v>
      </c>
      <c r="B142" s="89"/>
      <c r="C142" s="88">
        <v>1379</v>
      </c>
      <c r="D142" s="87" t="s">
        <v>139</v>
      </c>
    </row>
    <row r="143" spans="1:4" x14ac:dyDescent="0.3">
      <c r="A143" s="86" t="s">
        <v>220</v>
      </c>
      <c r="B143" s="89"/>
      <c r="C143" s="88">
        <v>4657</v>
      </c>
      <c r="D143" s="87" t="s">
        <v>139</v>
      </c>
    </row>
    <row r="144" spans="1:4" x14ac:dyDescent="0.3">
      <c r="A144" s="86" t="s">
        <v>221</v>
      </c>
      <c r="B144" s="89"/>
      <c r="C144" s="88">
        <v>3300</v>
      </c>
      <c r="D144" s="87" t="s">
        <v>139</v>
      </c>
    </row>
    <row r="145" spans="1:4" x14ac:dyDescent="0.3">
      <c r="A145" s="86" t="s">
        <v>222</v>
      </c>
      <c r="B145" s="89"/>
      <c r="C145" s="88">
        <v>10350</v>
      </c>
      <c r="D145" s="87" t="s">
        <v>139</v>
      </c>
    </row>
    <row r="146" spans="1:4" x14ac:dyDescent="0.3">
      <c r="A146" s="86" t="s">
        <v>223</v>
      </c>
      <c r="B146" s="89"/>
      <c r="C146" s="88">
        <v>1</v>
      </c>
      <c r="D146" s="87" t="s">
        <v>139</v>
      </c>
    </row>
    <row r="147" spans="1:4" x14ac:dyDescent="0.3">
      <c r="A147" s="86" t="s">
        <v>224</v>
      </c>
      <c r="B147" s="89"/>
      <c r="C147" s="88">
        <v>23900</v>
      </c>
      <c r="D147" s="87" t="s">
        <v>139</v>
      </c>
    </row>
    <row r="148" spans="1:4" x14ac:dyDescent="0.3">
      <c r="A148" s="86" t="s">
        <v>225</v>
      </c>
      <c r="B148" s="89"/>
      <c r="C148" s="88">
        <v>17700</v>
      </c>
      <c r="D148" s="87" t="s">
        <v>139</v>
      </c>
    </row>
    <row r="149" spans="1:4" x14ac:dyDescent="0.3">
      <c r="A149" s="86" t="s">
        <v>226</v>
      </c>
      <c r="B149" s="89"/>
      <c r="C149" s="90">
        <v>3638.8</v>
      </c>
      <c r="D149" s="87" t="s">
        <v>139</v>
      </c>
    </row>
    <row r="150" spans="1:4" x14ac:dyDescent="0.3">
      <c r="A150" s="83"/>
      <c r="B150" s="83"/>
      <c r="C150" s="84"/>
      <c r="D150" s="83"/>
    </row>
    <row r="151" spans="1:4" x14ac:dyDescent="0.3">
      <c r="A151" s="83"/>
      <c r="B151" s="83"/>
      <c r="C151" s="84"/>
      <c r="D151" s="83"/>
    </row>
    <row r="152" spans="1:4" x14ac:dyDescent="0.3">
      <c r="A152" s="82" t="s">
        <v>227</v>
      </c>
      <c r="B152" s="83"/>
      <c r="C152" s="84"/>
      <c r="D152" s="83"/>
    </row>
    <row r="153" spans="1:4" x14ac:dyDescent="0.3">
      <c r="A153" s="83" t="s">
        <v>228</v>
      </c>
      <c r="B153" s="83"/>
      <c r="C153" s="84">
        <v>0.48599999999999999</v>
      </c>
      <c r="D153" s="83" t="s">
        <v>229</v>
      </c>
    </row>
    <row r="154" spans="1:4" x14ac:dyDescent="0.3">
      <c r="A154" s="83" t="s">
        <v>230</v>
      </c>
      <c r="B154" s="83"/>
      <c r="C154" s="84">
        <v>0</v>
      </c>
      <c r="D154" s="83" t="s">
        <v>229</v>
      </c>
    </row>
    <row r="155" spans="1:4" x14ac:dyDescent="0.3">
      <c r="A155" s="83" t="s">
        <v>231</v>
      </c>
      <c r="B155" s="83"/>
      <c r="C155" s="84">
        <v>0</v>
      </c>
      <c r="D155" s="83" t="s">
        <v>229</v>
      </c>
    </row>
    <row r="156" spans="1:4" x14ac:dyDescent="0.3">
      <c r="A156" s="83"/>
      <c r="B156" s="83"/>
      <c r="C156" s="84"/>
      <c r="D156" s="83"/>
    </row>
    <row r="157" spans="1:4" x14ac:dyDescent="0.3">
      <c r="A157" s="82" t="s">
        <v>232</v>
      </c>
      <c r="B157" s="83"/>
      <c r="C157" s="84"/>
      <c r="D157" s="83"/>
    </row>
    <row r="158" spans="1:4" x14ac:dyDescent="0.3">
      <c r="A158" s="83" t="s">
        <v>76</v>
      </c>
      <c r="B158" s="83"/>
      <c r="C158" s="84">
        <v>0.187</v>
      </c>
      <c r="D158" s="83" t="s">
        <v>229</v>
      </c>
    </row>
    <row r="159" spans="1:4" x14ac:dyDescent="0.3">
      <c r="A159" s="83"/>
      <c r="B159" s="83"/>
      <c r="C159" s="84"/>
      <c r="D159" s="83"/>
    </row>
    <row r="160" spans="1:4" x14ac:dyDescent="0.3">
      <c r="A160" s="82" t="s">
        <v>233</v>
      </c>
      <c r="B160" s="83"/>
      <c r="C160" s="84"/>
      <c r="D160" s="83"/>
    </row>
    <row r="161" spans="1:4" x14ac:dyDescent="0.3">
      <c r="A161" s="83"/>
      <c r="B161" s="83"/>
      <c r="C161" s="84"/>
      <c r="D161" s="83"/>
    </row>
    <row r="162" spans="1:4" x14ac:dyDescent="0.3">
      <c r="A162" s="83" t="s">
        <v>234</v>
      </c>
      <c r="B162" s="83"/>
      <c r="C162" s="84">
        <v>5.0000000000000001E-3</v>
      </c>
      <c r="D162" s="83" t="s">
        <v>235</v>
      </c>
    </row>
    <row r="163" spans="1:4" x14ac:dyDescent="0.3">
      <c r="A163" s="83" t="s">
        <v>236</v>
      </c>
      <c r="B163" s="83"/>
      <c r="C163" s="84">
        <v>0.95199999999999996</v>
      </c>
      <c r="D163" s="83" t="s">
        <v>139</v>
      </c>
    </row>
    <row r="164" spans="1:4" x14ac:dyDescent="0.3">
      <c r="A164" s="83" t="s">
        <v>237</v>
      </c>
      <c r="B164" s="83"/>
      <c r="C164" s="84">
        <v>0.79400000000000004</v>
      </c>
      <c r="D164" s="83" t="s">
        <v>139</v>
      </c>
    </row>
    <row r="165" spans="1:4" x14ac:dyDescent="0.3">
      <c r="A165" s="83" t="s">
        <v>238</v>
      </c>
      <c r="B165" s="83"/>
      <c r="C165" s="84">
        <v>0.79400000000000004</v>
      </c>
      <c r="D165" s="83" t="s">
        <v>139</v>
      </c>
    </row>
    <row r="166" spans="1:4" x14ac:dyDescent="0.3">
      <c r="A166" s="83" t="s">
        <v>239</v>
      </c>
      <c r="B166" s="83"/>
      <c r="C166" s="84">
        <v>2.3010000000000002</v>
      </c>
      <c r="D166" s="83" t="s">
        <v>139</v>
      </c>
    </row>
    <row r="167" spans="1:4" x14ac:dyDescent="0.3">
      <c r="A167" s="83"/>
      <c r="B167" s="83"/>
      <c r="C167" s="84"/>
      <c r="D167" s="83"/>
    </row>
    <row r="168" spans="1:4" x14ac:dyDescent="0.3">
      <c r="A168" s="82" t="s">
        <v>240</v>
      </c>
      <c r="B168" s="83"/>
      <c r="C168" s="84"/>
      <c r="D168" s="83"/>
    </row>
    <row r="169" spans="1:4" x14ac:dyDescent="0.3">
      <c r="A169" s="83" t="s">
        <v>241</v>
      </c>
      <c r="B169" s="83"/>
      <c r="C169" s="84">
        <v>0.7</v>
      </c>
      <c r="D169" s="83" t="s">
        <v>242</v>
      </c>
    </row>
    <row r="170" spans="1:4" x14ac:dyDescent="0.3">
      <c r="A170" s="83"/>
      <c r="B170" s="83"/>
      <c r="C170" s="84"/>
      <c r="D170" s="83" t="s">
        <v>243</v>
      </c>
    </row>
    <row r="171" spans="1:4" x14ac:dyDescent="0.3">
      <c r="A171" s="89"/>
      <c r="B171" s="89"/>
      <c r="C171" s="89"/>
      <c r="D171" s="89"/>
    </row>
    <row r="172" spans="1:4" x14ac:dyDescent="0.3">
      <c r="A172" s="82" t="s">
        <v>244</v>
      </c>
      <c r="B172" s="83"/>
      <c r="C172" s="84"/>
      <c r="D172" s="83"/>
    </row>
    <row r="173" spans="1:4" x14ac:dyDescent="0.3">
      <c r="A173" s="83" t="s">
        <v>245</v>
      </c>
      <c r="B173" s="83"/>
      <c r="C173" s="91">
        <v>0.52751000000000003</v>
      </c>
      <c r="D173" s="83" t="s">
        <v>246</v>
      </c>
    </row>
    <row r="174" spans="1:4" x14ac:dyDescent="0.3">
      <c r="A174" s="83" t="s">
        <v>245</v>
      </c>
      <c r="B174" s="83"/>
      <c r="C174" s="91">
        <v>5.8880000000000002E-2</v>
      </c>
      <c r="D174" s="83" t="s">
        <v>229</v>
      </c>
    </row>
    <row r="175" spans="1:4" x14ac:dyDescent="0.3">
      <c r="A175" s="83" t="s">
        <v>245</v>
      </c>
      <c r="B175" s="83"/>
      <c r="C175" s="91">
        <v>0.60263</v>
      </c>
      <c r="D175" s="83" t="s">
        <v>246</v>
      </c>
    </row>
    <row r="176" spans="1:4" x14ac:dyDescent="0.3">
      <c r="A176" s="83" t="s">
        <v>247</v>
      </c>
      <c r="B176" s="83"/>
      <c r="C176" s="91">
        <v>2.3910000000000001E-2</v>
      </c>
      <c r="D176" s="83" t="s">
        <v>229</v>
      </c>
    </row>
    <row r="177" spans="1:4" x14ac:dyDescent="0.3">
      <c r="A177" s="83" t="s">
        <v>247</v>
      </c>
      <c r="B177" s="83"/>
      <c r="C177" s="91">
        <v>0.28449999999999998</v>
      </c>
      <c r="D177" s="83" t="s">
        <v>133</v>
      </c>
    </row>
    <row r="178" spans="1:4" x14ac:dyDescent="0.3">
      <c r="A178" s="83" t="s">
        <v>248</v>
      </c>
      <c r="B178" s="83"/>
      <c r="C178" s="91">
        <v>0.19147</v>
      </c>
      <c r="D178" s="83" t="s">
        <v>135</v>
      </c>
    </row>
    <row r="179" spans="1:4" x14ac:dyDescent="0.3">
      <c r="A179" s="83" t="s">
        <v>249</v>
      </c>
      <c r="B179" s="83"/>
      <c r="C179" s="91">
        <v>0.48799999999999999</v>
      </c>
      <c r="D179" s="83" t="s">
        <v>139</v>
      </c>
    </row>
    <row r="180" spans="1:4" x14ac:dyDescent="0.3">
      <c r="A180" s="83" t="s">
        <v>250</v>
      </c>
      <c r="B180" s="83"/>
      <c r="C180" s="91">
        <v>0.61846000000000001</v>
      </c>
      <c r="D180" s="83" t="s">
        <v>246</v>
      </c>
    </row>
    <row r="181" spans="1:4" x14ac:dyDescent="0.3">
      <c r="A181" s="83" t="s">
        <v>251</v>
      </c>
      <c r="B181" s="83"/>
      <c r="C181" s="91">
        <v>0.61097999999999997</v>
      </c>
      <c r="D181" s="83" t="s">
        <v>135</v>
      </c>
    </row>
    <row r="182" spans="1:4" x14ac:dyDescent="0.3">
      <c r="A182" s="83" t="s">
        <v>252</v>
      </c>
      <c r="B182" s="83"/>
      <c r="C182" s="91">
        <v>0.36671999999999999</v>
      </c>
      <c r="D182" s="83" t="s">
        <v>246</v>
      </c>
    </row>
    <row r="183" spans="1:4" x14ac:dyDescent="0.3">
      <c r="A183" s="83" t="s">
        <v>253</v>
      </c>
      <c r="B183" s="83"/>
      <c r="C183" s="91">
        <v>0.59665000000000001</v>
      </c>
      <c r="D183" s="83" t="s">
        <v>246</v>
      </c>
    </row>
    <row r="184" spans="1:4" x14ac:dyDescent="0.3">
      <c r="A184" s="83" t="s">
        <v>254</v>
      </c>
      <c r="B184" s="83"/>
      <c r="C184" s="91">
        <v>6.9541222849456893E-2</v>
      </c>
      <c r="D184" s="83" t="s">
        <v>229</v>
      </c>
    </row>
    <row r="185" spans="1:4" x14ac:dyDescent="0.3">
      <c r="A185" s="83" t="s">
        <v>231</v>
      </c>
      <c r="B185" s="83"/>
      <c r="C185" s="91">
        <v>3.5000000000000003E-2</v>
      </c>
      <c r="D185" s="83" t="s">
        <v>229</v>
      </c>
    </row>
    <row r="186" spans="1:4" x14ac:dyDescent="0.3">
      <c r="A186" s="83" t="s">
        <v>230</v>
      </c>
      <c r="B186" s="83"/>
      <c r="C186" s="91">
        <v>3.5000000000000003E-2</v>
      </c>
      <c r="D186" s="83" t="s">
        <v>229</v>
      </c>
    </row>
    <row r="187" spans="1:4" x14ac:dyDescent="0.3">
      <c r="A187" s="83" t="s">
        <v>255</v>
      </c>
      <c r="B187" s="83"/>
      <c r="C187" s="91">
        <v>2.7089999999999999E-2</v>
      </c>
      <c r="D187" s="83" t="s">
        <v>229</v>
      </c>
    </row>
    <row r="188" spans="1:4" x14ac:dyDescent="0.3">
      <c r="A188" s="83"/>
      <c r="B188" s="83"/>
      <c r="C188" s="91"/>
      <c r="D188" s="83"/>
    </row>
    <row r="189" spans="1:4" x14ac:dyDescent="0.3">
      <c r="A189" s="82" t="s">
        <v>256</v>
      </c>
      <c r="B189" s="83"/>
      <c r="C189" s="84"/>
      <c r="D189" s="83"/>
    </row>
    <row r="190" spans="1:4" x14ac:dyDescent="0.3">
      <c r="A190" s="83" t="s">
        <v>257</v>
      </c>
      <c r="B190" s="83"/>
      <c r="C190" s="84">
        <v>21.353999999999999</v>
      </c>
      <c r="D190" s="83" t="s">
        <v>258</v>
      </c>
    </row>
    <row r="191" spans="1:4" x14ac:dyDescent="0.3">
      <c r="A191" s="83" t="s">
        <v>259</v>
      </c>
      <c r="B191" s="83"/>
      <c r="C191" s="84">
        <v>626.95899999999995</v>
      </c>
      <c r="D191" s="83" t="s">
        <v>258</v>
      </c>
    </row>
    <row r="192" spans="1:4" x14ac:dyDescent="0.3">
      <c r="A192" s="83" t="s">
        <v>260</v>
      </c>
      <c r="B192" s="83"/>
      <c r="C192" s="84">
        <v>21.353999999999999</v>
      </c>
      <c r="D192" s="83" t="s">
        <v>258</v>
      </c>
    </row>
    <row r="193" spans="1:4" x14ac:dyDescent="0.3">
      <c r="A193" s="83" t="s">
        <v>261</v>
      </c>
      <c r="B193" s="83"/>
      <c r="C193" s="84">
        <v>21.353999999999999</v>
      </c>
      <c r="D193" s="83" t="s">
        <v>258</v>
      </c>
    </row>
    <row r="194" spans="1:4" x14ac:dyDescent="0.3">
      <c r="A194" s="83" t="s">
        <v>262</v>
      </c>
      <c r="B194" s="83"/>
      <c r="C194" s="84">
        <v>21.353999999999999</v>
      </c>
      <c r="D194" s="83" t="s">
        <v>258</v>
      </c>
    </row>
    <row r="195" spans="1:4" x14ac:dyDescent="0.3">
      <c r="A195" s="83" t="s">
        <v>263</v>
      </c>
      <c r="B195" s="83"/>
      <c r="C195" s="84">
        <v>586.51400000000001</v>
      </c>
      <c r="D195" s="83" t="s">
        <v>258</v>
      </c>
    </row>
    <row r="196" spans="1:4" x14ac:dyDescent="0.3">
      <c r="A196" s="83" t="s">
        <v>264</v>
      </c>
      <c r="B196" s="83"/>
      <c r="C196" s="84">
        <v>21.353999999999999</v>
      </c>
      <c r="D196" s="83" t="s">
        <v>258</v>
      </c>
    </row>
    <row r="197" spans="1:4" x14ac:dyDescent="0.3">
      <c r="A197" s="83" t="s">
        <v>265</v>
      </c>
      <c r="B197" s="83"/>
      <c r="C197" s="84">
        <v>1041.8879999999999</v>
      </c>
      <c r="D197" s="83" t="s">
        <v>258</v>
      </c>
    </row>
    <row r="198" spans="1:4" x14ac:dyDescent="0.3">
      <c r="A198" s="83" t="s">
        <v>266</v>
      </c>
      <c r="B198" s="83"/>
      <c r="C198" s="84">
        <v>8.9860000000000007</v>
      </c>
      <c r="D198" s="83" t="s">
        <v>258</v>
      </c>
    </row>
    <row r="199" spans="1:4" x14ac:dyDescent="0.3">
      <c r="A199" s="83" t="s">
        <v>267</v>
      </c>
      <c r="B199" s="83"/>
      <c r="C199" s="84">
        <v>21.353999999999999</v>
      </c>
      <c r="D199" s="83" t="s">
        <v>258</v>
      </c>
    </row>
    <row r="200" spans="1:4" x14ac:dyDescent="0.3">
      <c r="A200" s="92"/>
      <c r="B200" s="83"/>
      <c r="C200" s="84"/>
      <c r="D200" s="83"/>
    </row>
    <row r="201" spans="1:4" x14ac:dyDescent="0.3">
      <c r="A201" s="83" t="s">
        <v>268</v>
      </c>
      <c r="B201" s="83"/>
      <c r="C201" s="84">
        <v>0.70799999999999996</v>
      </c>
      <c r="D201" s="83" t="s">
        <v>133</v>
      </c>
    </row>
    <row r="202" spans="1:4" x14ac:dyDescent="0.3">
      <c r="A202" s="83"/>
      <c r="B202" s="83"/>
      <c r="C202" s="84"/>
      <c r="D202" s="83"/>
    </row>
    <row r="203" spans="1:4" x14ac:dyDescent="0.3">
      <c r="A203" s="82" t="s">
        <v>269</v>
      </c>
      <c r="B203" s="83"/>
      <c r="C203" s="84"/>
      <c r="D203" s="83"/>
    </row>
    <row r="204" spans="1:4" x14ac:dyDescent="0.3">
      <c r="A204" s="83" t="s">
        <v>270</v>
      </c>
      <c r="B204" s="83"/>
      <c r="C204" s="84">
        <v>0.25</v>
      </c>
      <c r="D204" s="83" t="s">
        <v>271</v>
      </c>
    </row>
    <row r="205" spans="1:4" x14ac:dyDescent="0.3">
      <c r="A205" s="83" t="s">
        <v>272</v>
      </c>
      <c r="B205" s="83"/>
      <c r="C205" s="84">
        <v>4.1000000000000002E-2</v>
      </c>
      <c r="D205" s="83" t="s">
        <v>273</v>
      </c>
    </row>
    <row r="206" spans="1:4" x14ac:dyDescent="0.3">
      <c r="A206" s="83" t="s">
        <v>274</v>
      </c>
      <c r="B206" s="83"/>
      <c r="C206" s="84" t="s">
        <v>275</v>
      </c>
      <c r="D206" s="83" t="s">
        <v>276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17C0-FFA3-46B3-AA82-D6FD2A44B0A7}">
  <sheetPr>
    <pageSetUpPr fitToPage="1"/>
  </sheetPr>
  <dimension ref="A1:K31"/>
  <sheetViews>
    <sheetView workbookViewId="0">
      <selection activeCell="C7" sqref="C7"/>
    </sheetView>
  </sheetViews>
  <sheetFormatPr baseColWidth="10" defaultColWidth="20.6640625" defaultRowHeight="19.95" customHeight="1" x14ac:dyDescent="0.3"/>
  <cols>
    <col min="1" max="1" width="31.33203125" style="1" customWidth="1"/>
    <col min="2" max="3" width="20.6640625" style="1"/>
    <col min="4" max="4" width="18.77734375" style="1" customWidth="1"/>
    <col min="5" max="5" width="20.6640625" style="1" customWidth="1"/>
    <col min="6" max="6" width="20.6640625" style="1"/>
    <col min="7" max="9" width="12.77734375" style="1" customWidth="1"/>
    <col min="10" max="16384" width="20.6640625" style="1"/>
  </cols>
  <sheetData>
    <row r="1" spans="1:9" ht="19.95" customHeight="1" x14ac:dyDescent="0.3">
      <c r="A1" s="5" t="s">
        <v>20</v>
      </c>
    </row>
    <row r="2" spans="1:9" s="2" customFormat="1" ht="19.95" customHeight="1" x14ac:dyDescent="0.3">
      <c r="A2" s="123" t="s">
        <v>22</v>
      </c>
      <c r="B2" s="123"/>
      <c r="C2" s="123"/>
      <c r="D2" s="12" t="s">
        <v>24</v>
      </c>
      <c r="E2" s="13"/>
      <c r="F2" s="14"/>
    </row>
    <row r="3" spans="1:9" s="2" customFormat="1" ht="19.95" customHeight="1" x14ac:dyDescent="0.3">
      <c r="A3" s="5"/>
      <c r="B3" s="2" t="s">
        <v>1</v>
      </c>
      <c r="C3" s="2" t="s">
        <v>2</v>
      </c>
      <c r="D3" s="2" t="s">
        <v>8</v>
      </c>
    </row>
    <row r="4" spans="1:9" ht="19.95" customHeight="1" x14ac:dyDescent="0.3">
      <c r="A4" s="1" t="s">
        <v>3</v>
      </c>
      <c r="B4" s="3">
        <f>196+20</f>
        <v>216</v>
      </c>
      <c r="C4" s="3">
        <f>B4*960</f>
        <v>207360</v>
      </c>
      <c r="D4" s="3">
        <f>0.434*C4</f>
        <v>89994.240000000005</v>
      </c>
      <c r="E4" s="1" t="s">
        <v>9</v>
      </c>
    </row>
    <row r="5" spans="1:9" ht="19.95" customHeight="1" x14ac:dyDescent="0.3">
      <c r="A5" s="1" t="s">
        <v>5</v>
      </c>
      <c r="B5" s="3">
        <v>200</v>
      </c>
      <c r="C5" s="3">
        <f t="shared" ref="C5:C10" si="0">B5*950</f>
        <v>190000</v>
      </c>
      <c r="D5" s="3">
        <f t="shared" ref="D5:D8" si="1">0.434*C5</f>
        <v>82460</v>
      </c>
      <c r="E5" s="1" t="s">
        <v>9</v>
      </c>
      <c r="F5" s="3"/>
      <c r="G5" s="4"/>
      <c r="H5" s="4"/>
    </row>
    <row r="6" spans="1:9" ht="19.95" customHeight="1" x14ac:dyDescent="0.3">
      <c r="A6" s="1" t="s">
        <v>7</v>
      </c>
      <c r="B6" s="3">
        <f>147.84+295.68</f>
        <v>443.52</v>
      </c>
      <c r="C6" s="3">
        <f t="shared" si="0"/>
        <v>421344</v>
      </c>
      <c r="D6" s="3">
        <f t="shared" si="1"/>
        <v>182863.296</v>
      </c>
      <c r="E6" s="1" t="s">
        <v>9</v>
      </c>
      <c r="F6" s="3"/>
    </row>
    <row r="7" spans="1:9" ht="19.95" customHeight="1" x14ac:dyDescent="0.3">
      <c r="A7" s="1" t="s">
        <v>11</v>
      </c>
      <c r="B7" s="3">
        <v>650</v>
      </c>
      <c r="C7" s="3">
        <f t="shared" si="0"/>
        <v>617500</v>
      </c>
      <c r="D7" s="3">
        <f t="shared" si="1"/>
        <v>267995</v>
      </c>
      <c r="E7" s="1" t="s">
        <v>9</v>
      </c>
    </row>
    <row r="8" spans="1:9" ht="19.95" customHeight="1" x14ac:dyDescent="0.3">
      <c r="A8" s="1" t="s">
        <v>90</v>
      </c>
      <c r="B8" s="3">
        <v>250</v>
      </c>
      <c r="C8" s="3">
        <f t="shared" si="0"/>
        <v>237500</v>
      </c>
      <c r="D8" s="3">
        <f t="shared" si="1"/>
        <v>103075</v>
      </c>
      <c r="E8" s="1" t="s">
        <v>9</v>
      </c>
    </row>
    <row r="9" spans="1:9" ht="19.95" customHeight="1" x14ac:dyDescent="0.3">
      <c r="A9" s="1" t="s">
        <v>4</v>
      </c>
      <c r="B9" s="3">
        <v>300</v>
      </c>
      <c r="C9" s="3">
        <f t="shared" si="0"/>
        <v>285000</v>
      </c>
      <c r="D9" s="3">
        <f>0.434*C9</f>
        <v>123690</v>
      </c>
      <c r="E9" s="1" t="s">
        <v>9</v>
      </c>
      <c r="F9" s="3"/>
    </row>
    <row r="10" spans="1:9" ht="19.95" customHeight="1" x14ac:dyDescent="0.3">
      <c r="A10" s="1" t="s">
        <v>6</v>
      </c>
      <c r="B10" s="3">
        <v>200</v>
      </c>
      <c r="C10" s="3">
        <f t="shared" si="0"/>
        <v>190000</v>
      </c>
      <c r="D10" s="3">
        <f>0.434*C10</f>
        <v>82460</v>
      </c>
      <c r="E10" s="1" t="s">
        <v>9</v>
      </c>
      <c r="F10" s="3"/>
      <c r="G10" s="4"/>
    </row>
    <row r="11" spans="1:9" ht="19.95" customHeight="1" x14ac:dyDescent="0.3">
      <c r="A11" s="16" t="s">
        <v>19</v>
      </c>
      <c r="B11" s="17"/>
      <c r="C11" s="17">
        <f>C4+C5+C6+C7</f>
        <v>1436204</v>
      </c>
      <c r="D11" s="17">
        <f>D4+D5+D6+D7</f>
        <v>623312.53599999996</v>
      </c>
      <c r="E11" s="18" t="s">
        <v>9</v>
      </c>
      <c r="F11" s="3"/>
      <c r="G11" s="4"/>
    </row>
    <row r="12" spans="1:9" ht="19.95" customHeight="1" x14ac:dyDescent="0.3">
      <c r="A12" s="10" t="s">
        <v>23</v>
      </c>
      <c r="B12" s="11">
        <f>SUM(B4:B10)</f>
        <v>2259.52</v>
      </c>
      <c r="C12" s="11">
        <f>SUM(C4:C10)</f>
        <v>2148704</v>
      </c>
      <c r="D12" s="11">
        <f>SUM(D4:D10)</f>
        <v>932537.53599999996</v>
      </c>
      <c r="E12" s="1" t="s">
        <v>9</v>
      </c>
      <c r="F12" s="11"/>
    </row>
    <row r="13" spans="1:9" ht="19.95" customHeight="1" x14ac:dyDescent="0.3">
      <c r="B13" s="3"/>
      <c r="C13" s="3"/>
      <c r="E13" s="3"/>
      <c r="F13" s="3"/>
      <c r="H13" s="3"/>
      <c r="I13" s="4"/>
    </row>
    <row r="14" spans="1:9" ht="19.95" customHeight="1" x14ac:dyDescent="0.3">
      <c r="A14" s="123" t="s">
        <v>21</v>
      </c>
      <c r="B14" s="123"/>
      <c r="C14" s="123"/>
      <c r="D14" s="9" t="s">
        <v>25</v>
      </c>
      <c r="E14" s="9"/>
      <c r="F14" s="9"/>
      <c r="H14" s="3"/>
    </row>
    <row r="15" spans="1:9" ht="19.95" customHeight="1" x14ac:dyDescent="0.3">
      <c r="B15" s="2" t="s">
        <v>10</v>
      </c>
      <c r="C15" s="2" t="s">
        <v>17</v>
      </c>
      <c r="E15" s="3"/>
      <c r="F15" s="3"/>
    </row>
    <row r="16" spans="1:9" ht="19.95" customHeight="1" x14ac:dyDescent="0.3">
      <c r="A16" s="1" t="s">
        <v>3</v>
      </c>
      <c r="B16" s="3">
        <v>20</v>
      </c>
      <c r="C16" s="3">
        <f>B16*8760*0.274</f>
        <v>48004.800000000003</v>
      </c>
      <c r="D16" s="3">
        <f>0.434*C16</f>
        <v>20834.083200000001</v>
      </c>
      <c r="E16" s="1" t="s">
        <v>9</v>
      </c>
      <c r="F16" s="3"/>
    </row>
    <row r="17" spans="1:11" ht="19.95" customHeight="1" x14ac:dyDescent="0.3">
      <c r="A17" s="1" t="s">
        <v>11</v>
      </c>
      <c r="B17" s="3">
        <v>9</v>
      </c>
      <c r="C17" s="3">
        <f>B17*8760*0.274</f>
        <v>21602.160000000003</v>
      </c>
      <c r="D17" s="3">
        <f>0.434*C17</f>
        <v>9375.3374400000012</v>
      </c>
      <c r="E17" s="1" t="s">
        <v>9</v>
      </c>
      <c r="F17" s="3"/>
    </row>
    <row r="18" spans="1:11" ht="19.95" customHeight="1" x14ac:dyDescent="0.3">
      <c r="A18" s="16" t="s">
        <v>19</v>
      </c>
      <c r="B18" s="17"/>
      <c r="C18" s="17">
        <f>SUM(C16:C17)</f>
        <v>69606.960000000006</v>
      </c>
      <c r="D18" s="17">
        <f>SUM(D16:D17)</f>
        <v>30209.420640000004</v>
      </c>
      <c r="E18" s="18" t="s">
        <v>9</v>
      </c>
      <c r="F18" s="3"/>
      <c r="G18" s="4"/>
    </row>
    <row r="19" spans="1:11" ht="19.95" customHeight="1" x14ac:dyDescent="0.3">
      <c r="B19" s="3"/>
      <c r="C19" s="3"/>
      <c r="D19" s="3"/>
      <c r="E19" s="3"/>
      <c r="F19" s="3"/>
    </row>
    <row r="20" spans="1:11" ht="19.95" customHeight="1" x14ac:dyDescent="0.3">
      <c r="A20" s="123" t="s">
        <v>26</v>
      </c>
      <c r="B20" s="123"/>
      <c r="C20" s="123"/>
      <c r="D20" s="3"/>
      <c r="E20" s="3"/>
      <c r="F20" s="3"/>
    </row>
    <row r="21" spans="1:11" ht="19.95" customHeight="1" x14ac:dyDescent="0.3">
      <c r="B21" s="3"/>
      <c r="C21" s="3"/>
      <c r="D21" s="3"/>
      <c r="E21" s="3"/>
      <c r="F21" s="3"/>
    </row>
    <row r="22" spans="1:11" ht="19.95" customHeight="1" x14ac:dyDescent="0.3">
      <c r="A22" s="18" t="s">
        <v>12</v>
      </c>
      <c r="B22" s="18"/>
      <c r="C22" s="18"/>
      <c r="D22" s="17">
        <v>195000</v>
      </c>
      <c r="E22" s="18" t="s">
        <v>9</v>
      </c>
      <c r="F22" s="18" t="s">
        <v>27</v>
      </c>
      <c r="H22" s="4"/>
    </row>
    <row r="23" spans="1:11" ht="19.95" customHeight="1" x14ac:dyDescent="0.3">
      <c r="B23" s="3"/>
      <c r="C23" s="3"/>
      <c r="D23" s="3"/>
      <c r="E23" s="3"/>
      <c r="F23" s="3"/>
    </row>
    <row r="24" spans="1:11" ht="19.95" customHeight="1" x14ac:dyDescent="0.3">
      <c r="A24" s="123" t="s">
        <v>0</v>
      </c>
      <c r="B24" s="123"/>
      <c r="C24" s="123"/>
      <c r="D24" s="9" t="s">
        <v>18</v>
      </c>
      <c r="E24" s="14"/>
      <c r="F24" s="15"/>
      <c r="G24" s="15"/>
      <c r="H24" s="15"/>
    </row>
    <row r="25" spans="1:11" ht="49.95" customHeight="1" x14ac:dyDescent="0.3">
      <c r="A25" s="8" t="s">
        <v>15</v>
      </c>
      <c r="B25" s="2" t="s">
        <v>13</v>
      </c>
      <c r="C25" s="3" t="s">
        <v>14</v>
      </c>
      <c r="D25" s="7" t="s">
        <v>16</v>
      </c>
      <c r="E25" s="2" t="s">
        <v>8</v>
      </c>
      <c r="F25" s="12" t="s">
        <v>28</v>
      </c>
      <c r="G25" s="13"/>
      <c r="H25" s="14"/>
    </row>
    <row r="26" spans="1:11" ht="19.95" customHeight="1" x14ac:dyDescent="0.3">
      <c r="A26" s="1" t="s">
        <v>3</v>
      </c>
      <c r="B26" s="3">
        <v>8000</v>
      </c>
      <c r="C26" s="3">
        <v>600</v>
      </c>
      <c r="D26" s="3">
        <f>(B26+C26)*120</f>
        <v>1032000</v>
      </c>
      <c r="E26" s="3">
        <f>0.201*D26*0.75</f>
        <v>155574</v>
      </c>
      <c r="F26" s="3"/>
      <c r="K26" s="6"/>
    </row>
    <row r="27" spans="1:11" ht="19.95" customHeight="1" x14ac:dyDescent="0.3">
      <c r="A27" s="1" t="s">
        <v>5</v>
      </c>
      <c r="B27" s="3">
        <v>10000</v>
      </c>
      <c r="C27" s="3">
        <v>1000</v>
      </c>
      <c r="D27" s="3">
        <f t="shared" ref="D27:D30" si="2">(B27+C27)*120</f>
        <v>1320000</v>
      </c>
      <c r="E27" s="3">
        <f t="shared" ref="E27:E30" si="3">0.201*D27*0.75</f>
        <v>198990</v>
      </c>
    </row>
    <row r="28" spans="1:11" ht="19.95" customHeight="1" x14ac:dyDescent="0.3">
      <c r="A28" s="1" t="s">
        <v>6</v>
      </c>
      <c r="B28" s="3">
        <v>5900</v>
      </c>
      <c r="C28" s="3">
        <v>500</v>
      </c>
      <c r="D28" s="3">
        <f t="shared" si="2"/>
        <v>768000</v>
      </c>
      <c r="E28" s="3">
        <f t="shared" si="3"/>
        <v>115776</v>
      </c>
    </row>
    <row r="29" spans="1:11" ht="19.95" customHeight="1" x14ac:dyDescent="0.3">
      <c r="A29" s="1" t="s">
        <v>7</v>
      </c>
      <c r="B29" s="3">
        <v>8000</v>
      </c>
      <c r="C29" s="3">
        <v>2000</v>
      </c>
      <c r="D29" s="3">
        <f t="shared" si="2"/>
        <v>1200000</v>
      </c>
      <c r="E29" s="3">
        <f t="shared" si="3"/>
        <v>180900</v>
      </c>
    </row>
    <row r="30" spans="1:11" ht="19.95" customHeight="1" x14ac:dyDescent="0.3">
      <c r="A30" s="1" t="s">
        <v>11</v>
      </c>
      <c r="B30" s="3">
        <v>9000</v>
      </c>
      <c r="C30" s="3">
        <v>2000</v>
      </c>
      <c r="D30" s="3">
        <f t="shared" si="2"/>
        <v>1320000</v>
      </c>
      <c r="E30" s="3">
        <f t="shared" si="3"/>
        <v>198990</v>
      </c>
    </row>
    <row r="31" spans="1:11" ht="19.95" customHeight="1" x14ac:dyDescent="0.3">
      <c r="A31" s="16" t="s">
        <v>19</v>
      </c>
      <c r="B31" s="17">
        <f>SUM(B26:B30)</f>
        <v>40900</v>
      </c>
      <c r="C31" s="17">
        <f t="shared" ref="C31:D31" si="4">SUM(C26:C30)</f>
        <v>6100</v>
      </c>
      <c r="D31" s="17">
        <f t="shared" si="4"/>
        <v>5640000</v>
      </c>
      <c r="E31" s="17">
        <f>SUM(E26:E30)</f>
        <v>850230</v>
      </c>
    </row>
  </sheetData>
  <mergeCells count="4">
    <mergeCell ref="A2:C2"/>
    <mergeCell ref="A14:C14"/>
    <mergeCell ref="A20:C20"/>
    <mergeCell ref="A24:C24"/>
  </mergeCells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4B1-F7D5-4160-9B47-1D48C584D621}">
  <dimension ref="A1:AH4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7" sqref="G27"/>
    </sheetView>
  </sheetViews>
  <sheetFormatPr baseColWidth="10" defaultColWidth="14.6640625" defaultRowHeight="15" customHeight="1" x14ac:dyDescent="0.3"/>
  <cols>
    <col min="1" max="1" width="24" style="22" customWidth="1"/>
    <col min="2" max="2" width="11.33203125" style="21" customWidth="1"/>
    <col min="3" max="3" width="9.5546875" style="21" customWidth="1"/>
    <col min="4" max="4" width="12.21875" style="21" customWidth="1"/>
    <col min="5" max="5" width="11.21875" style="21" customWidth="1"/>
    <col min="6" max="6" width="10.6640625" style="21" customWidth="1"/>
    <col min="7" max="7" width="12.21875" style="21" customWidth="1"/>
    <col min="8" max="9" width="10.6640625" style="21" customWidth="1"/>
    <col min="10" max="10" width="10.77734375" style="21" customWidth="1"/>
    <col min="11" max="15" width="10.6640625" style="21" customWidth="1"/>
    <col min="16" max="16" width="10.6640625" style="22" customWidth="1"/>
    <col min="17" max="19" width="10.6640625" style="21" customWidth="1"/>
    <col min="20" max="20" width="10.6640625" style="22" customWidth="1"/>
    <col min="21" max="21" width="15.21875" style="22" customWidth="1"/>
    <col min="22" max="22" width="13.5546875" style="67" customWidth="1"/>
    <col min="23" max="23" width="14.77734375" style="21" customWidth="1"/>
    <col min="24" max="24" width="12.21875" style="21" customWidth="1"/>
    <col min="25" max="25" width="10.6640625" style="21" customWidth="1"/>
    <col min="26" max="26" width="12.5546875" style="21" customWidth="1"/>
    <col min="27" max="27" width="10.6640625" style="21" customWidth="1"/>
    <col min="28" max="28" width="11.6640625" style="21" customWidth="1"/>
    <col min="29" max="29" width="10.6640625" style="21" customWidth="1"/>
    <col min="30" max="30" width="11.21875" style="21" customWidth="1"/>
    <col min="31" max="31" width="9.109375" style="21" customWidth="1"/>
    <col min="32" max="33" width="10.6640625" style="21" customWidth="1"/>
    <col min="34" max="34" width="13.6640625" style="21" customWidth="1"/>
    <col min="35" max="16384" width="14.6640625" style="21"/>
  </cols>
  <sheetData>
    <row r="1" spans="1:34" ht="15" customHeight="1" x14ac:dyDescent="0.3">
      <c r="A1" s="45" t="s">
        <v>112</v>
      </c>
      <c r="B1" s="129" t="s">
        <v>83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46"/>
      <c r="Q1" s="130" t="s">
        <v>84</v>
      </c>
      <c r="R1" s="130"/>
      <c r="S1" s="130"/>
      <c r="T1" s="130"/>
      <c r="U1" s="47" t="s">
        <v>85</v>
      </c>
      <c r="V1" s="65"/>
      <c r="W1" s="48"/>
      <c r="X1" s="48"/>
      <c r="Y1" s="48"/>
      <c r="Z1" s="48"/>
      <c r="AA1" s="49"/>
      <c r="AB1" s="50"/>
      <c r="AC1" s="50"/>
      <c r="AD1" s="50"/>
      <c r="AE1" s="50"/>
      <c r="AF1" s="50"/>
      <c r="AG1" s="50"/>
      <c r="AH1" s="50"/>
    </row>
    <row r="2" spans="1:34" s="24" customFormat="1" ht="45" customHeight="1" x14ac:dyDescent="0.3">
      <c r="A2" s="51" t="s">
        <v>40</v>
      </c>
      <c r="B2" s="131" t="s">
        <v>34</v>
      </c>
      <c r="C2" s="131"/>
      <c r="D2" s="131" t="s">
        <v>115</v>
      </c>
      <c r="E2" s="131"/>
      <c r="F2" s="132" t="s">
        <v>37</v>
      </c>
      <c r="G2" s="132"/>
      <c r="H2" s="132"/>
      <c r="I2" s="132" t="s">
        <v>38</v>
      </c>
      <c r="J2" s="132"/>
      <c r="K2" s="132"/>
      <c r="L2" s="131" t="s">
        <v>106</v>
      </c>
      <c r="M2" s="131"/>
      <c r="N2" s="132" t="s">
        <v>43</v>
      </c>
      <c r="O2" s="132"/>
      <c r="P2" s="52" t="s">
        <v>83</v>
      </c>
      <c r="Q2" s="51" t="s">
        <v>31</v>
      </c>
      <c r="R2" s="51" t="s">
        <v>91</v>
      </c>
      <c r="S2" s="52" t="s">
        <v>280</v>
      </c>
      <c r="T2" s="52" t="s">
        <v>84</v>
      </c>
      <c r="U2" s="52" t="s">
        <v>300</v>
      </c>
      <c r="V2" s="52" t="s">
        <v>119</v>
      </c>
      <c r="W2" s="52" t="s">
        <v>95</v>
      </c>
      <c r="X2" s="52" t="s">
        <v>103</v>
      </c>
      <c r="Y2" s="52" t="s">
        <v>101</v>
      </c>
      <c r="Z2" s="52" t="s">
        <v>102</v>
      </c>
      <c r="AA2" s="51" t="s">
        <v>96</v>
      </c>
      <c r="AB2" s="51" t="s">
        <v>13</v>
      </c>
      <c r="AC2" s="51" t="s">
        <v>14</v>
      </c>
      <c r="AD2" s="52" t="s">
        <v>107</v>
      </c>
      <c r="AE2" s="52" t="s">
        <v>100</v>
      </c>
      <c r="AF2" s="51" t="s">
        <v>98</v>
      </c>
      <c r="AG2" s="52" t="s">
        <v>121</v>
      </c>
      <c r="AH2" s="52" t="s">
        <v>122</v>
      </c>
    </row>
    <row r="3" spans="1:34" s="24" customFormat="1" ht="15" customHeight="1" x14ac:dyDescent="0.3">
      <c r="A3" s="51"/>
      <c r="B3" s="51" t="s">
        <v>32</v>
      </c>
      <c r="C3" s="51" t="s">
        <v>124</v>
      </c>
      <c r="D3" s="51" t="s">
        <v>32</v>
      </c>
      <c r="E3" s="51" t="s">
        <v>124</v>
      </c>
      <c r="F3" s="51" t="s">
        <v>42</v>
      </c>
      <c r="G3" s="51" t="s">
        <v>32</v>
      </c>
      <c r="H3" s="51" t="s">
        <v>124</v>
      </c>
      <c r="I3" s="51" t="s">
        <v>42</v>
      </c>
      <c r="J3" s="51" t="s">
        <v>32</v>
      </c>
      <c r="K3" s="51" t="s">
        <v>124</v>
      </c>
      <c r="L3" s="51" t="s">
        <v>35</v>
      </c>
      <c r="M3" s="51" t="s">
        <v>124</v>
      </c>
      <c r="N3" s="51" t="s">
        <v>44</v>
      </c>
      <c r="O3" s="51" t="s">
        <v>124</v>
      </c>
      <c r="P3" s="51" t="s">
        <v>124</v>
      </c>
      <c r="Q3" s="51" t="s">
        <v>32</v>
      </c>
      <c r="R3" s="51"/>
      <c r="S3" s="51" t="s">
        <v>32</v>
      </c>
      <c r="T3" s="51" t="s">
        <v>124</v>
      </c>
      <c r="U3" s="51" t="s">
        <v>124</v>
      </c>
      <c r="V3" s="51"/>
      <c r="W3" s="51" t="s">
        <v>9</v>
      </c>
      <c r="X3" s="51" t="s">
        <v>9</v>
      </c>
      <c r="Y3" s="51" t="s">
        <v>51</v>
      </c>
      <c r="Z3" s="51" t="s">
        <v>51</v>
      </c>
      <c r="AA3" s="51" t="s">
        <v>97</v>
      </c>
      <c r="AB3" s="51" t="s">
        <v>99</v>
      </c>
      <c r="AC3" s="51" t="s">
        <v>99</v>
      </c>
      <c r="AD3" s="51"/>
      <c r="AE3" s="51"/>
      <c r="AF3" s="51"/>
      <c r="AG3" s="51"/>
      <c r="AH3" s="51"/>
    </row>
    <row r="4" spans="1:34" ht="15" customHeight="1" x14ac:dyDescent="0.3">
      <c r="A4" s="53" t="s">
        <v>41</v>
      </c>
      <c r="B4" s="54">
        <v>3953</v>
      </c>
      <c r="C4" s="55">
        <f>B4*0.000244</f>
        <v>0.96453199999999994</v>
      </c>
      <c r="D4" s="54">
        <v>0</v>
      </c>
      <c r="E4" s="55">
        <f t="shared" ref="E4:E11" si="0">D4*0.000368</f>
        <v>0</v>
      </c>
      <c r="F4" s="69">
        <v>0</v>
      </c>
      <c r="G4" s="69">
        <f>F4*9.8</f>
        <v>0</v>
      </c>
      <c r="H4" s="55">
        <f>F4*0.00341</f>
        <v>0</v>
      </c>
      <c r="I4" s="69">
        <v>6008</v>
      </c>
      <c r="J4" s="69">
        <f>I4*8.4</f>
        <v>50467.200000000004</v>
      </c>
      <c r="K4" s="55">
        <f>I4*0.00303</f>
        <v>18.204240000000002</v>
      </c>
      <c r="L4" s="69">
        <v>27</v>
      </c>
      <c r="M4" s="64">
        <f>L4*0.00000242</f>
        <v>6.5340000000000008E-5</v>
      </c>
      <c r="N4" s="69">
        <v>0</v>
      </c>
      <c r="O4" s="56">
        <f t="shared" ref="O4" si="1">N4/500</f>
        <v>0</v>
      </c>
      <c r="P4" s="57">
        <f>C4+E4+H4+K4+M4+O4</f>
        <v>19.16883734</v>
      </c>
      <c r="Q4" s="54">
        <v>2258</v>
      </c>
      <c r="R4" s="58" t="s">
        <v>92</v>
      </c>
      <c r="S4" s="58">
        <v>0</v>
      </c>
      <c r="T4" s="57">
        <f>(Q4*0.000107)+(S4*0.0000557)</f>
        <v>0.24160599999999999</v>
      </c>
      <c r="U4" s="57">
        <f>P4+T4</f>
        <v>19.41044334</v>
      </c>
      <c r="V4" s="58">
        <v>0</v>
      </c>
      <c r="W4" s="54">
        <v>400</v>
      </c>
      <c r="X4" s="93"/>
      <c r="Y4" s="93">
        <v>0</v>
      </c>
      <c r="Z4" s="93">
        <v>0</v>
      </c>
      <c r="AA4" s="93">
        <v>1.08</v>
      </c>
      <c r="AB4" s="69">
        <v>0</v>
      </c>
      <c r="AC4" s="69">
        <v>105</v>
      </c>
      <c r="AD4" s="69">
        <v>0</v>
      </c>
      <c r="AE4" s="69">
        <v>1</v>
      </c>
      <c r="AF4" s="54">
        <v>11</v>
      </c>
      <c r="AG4" s="54">
        <v>9</v>
      </c>
      <c r="AH4" s="54">
        <v>4</v>
      </c>
    </row>
    <row r="5" spans="1:34" ht="15" customHeight="1" x14ac:dyDescent="0.3">
      <c r="A5" s="53" t="s">
        <v>118</v>
      </c>
      <c r="B5" s="54">
        <v>0</v>
      </c>
      <c r="C5" s="55">
        <f t="shared" ref="C5:C11" si="2">B5*0.000244</f>
        <v>0</v>
      </c>
      <c r="D5" s="54">
        <v>0</v>
      </c>
      <c r="E5" s="55">
        <f t="shared" si="0"/>
        <v>0</v>
      </c>
      <c r="F5" s="69">
        <v>162025</v>
      </c>
      <c r="G5" s="69">
        <f t="shared" ref="G5:G24" si="3">F5*9.8</f>
        <v>1587845</v>
      </c>
      <c r="H5" s="68">
        <f t="shared" ref="H5:H11" si="4">F5*0.00341</f>
        <v>552.50524999999993</v>
      </c>
      <c r="I5" s="69">
        <v>16810</v>
      </c>
      <c r="J5" s="69">
        <f t="shared" ref="J5:J22" si="5">I5*8.4</f>
        <v>141204</v>
      </c>
      <c r="K5" s="68">
        <f t="shared" ref="K5:K6" si="6">I5*0.00303</f>
        <v>50.9343</v>
      </c>
      <c r="L5" s="69">
        <v>3651</v>
      </c>
      <c r="M5" s="64">
        <f t="shared" ref="M5:M11" si="7">L5*0.00000242</f>
        <v>8.8354200000000001E-3</v>
      </c>
      <c r="N5" s="69">
        <v>6000</v>
      </c>
      <c r="O5" s="56">
        <f>N5*0.00005</f>
        <v>0.3</v>
      </c>
      <c r="P5" s="57">
        <f t="shared" ref="P5:P22" si="8">C5+E5+H5+K5+M5+O5</f>
        <v>603.74838541999986</v>
      </c>
      <c r="Q5" s="54">
        <f>449121+6888+2100+12000+1530</f>
        <v>471639</v>
      </c>
      <c r="R5" s="58" t="s">
        <v>92</v>
      </c>
      <c r="S5" s="58">
        <f>'ZDF-Topserv'!C4+'ZDF-Topserv'!C16</f>
        <v>255364.8</v>
      </c>
      <c r="T5" s="57">
        <f>(Q5*0.000107)+(S5*0.0000557)</f>
        <v>64.689192359999993</v>
      </c>
      <c r="U5" s="57">
        <f t="shared" ref="U5:U24" si="9">P5+T5</f>
        <v>668.43757777999986</v>
      </c>
      <c r="V5" s="58">
        <v>0</v>
      </c>
      <c r="W5" s="54">
        <v>18296</v>
      </c>
      <c r="X5" s="54">
        <f>3000</f>
        <v>3000</v>
      </c>
      <c r="Y5" s="69">
        <v>5721</v>
      </c>
      <c r="Z5" s="69">
        <v>926</v>
      </c>
      <c r="AA5" s="59">
        <v>26.6</v>
      </c>
      <c r="AB5" s="69">
        <v>10660</v>
      </c>
      <c r="AC5" s="69">
        <v>1780</v>
      </c>
      <c r="AD5" s="69">
        <v>23</v>
      </c>
      <c r="AE5" s="69">
        <v>21</v>
      </c>
      <c r="AF5" s="54">
        <f>105+3+6</f>
        <v>114</v>
      </c>
      <c r="AG5" s="54">
        <f>37+2+2</f>
        <v>41</v>
      </c>
      <c r="AH5" s="54">
        <f>49+2</f>
        <v>51</v>
      </c>
    </row>
    <row r="6" spans="1:34" ht="15" customHeight="1" x14ac:dyDescent="0.3">
      <c r="A6" s="53" t="s">
        <v>117</v>
      </c>
      <c r="B6" s="54">
        <v>26452</v>
      </c>
      <c r="C6" s="55">
        <f t="shared" si="2"/>
        <v>6.454288</v>
      </c>
      <c r="D6" s="54">
        <v>0</v>
      </c>
      <c r="E6" s="55">
        <f t="shared" si="0"/>
        <v>0</v>
      </c>
      <c r="F6" s="54">
        <v>105043</v>
      </c>
      <c r="G6" s="69">
        <f t="shared" si="3"/>
        <v>1029421.4</v>
      </c>
      <c r="H6" s="55">
        <f t="shared" si="4"/>
        <v>358.19662999999997</v>
      </c>
      <c r="I6" s="54">
        <v>10050</v>
      </c>
      <c r="J6" s="69">
        <f t="shared" si="5"/>
        <v>84420</v>
      </c>
      <c r="K6" s="55">
        <f t="shared" si="6"/>
        <v>30.451500000000003</v>
      </c>
      <c r="L6" s="69">
        <v>552</v>
      </c>
      <c r="M6" s="64">
        <f t="shared" si="7"/>
        <v>1.33584E-3</v>
      </c>
      <c r="N6" s="54">
        <v>2000</v>
      </c>
      <c r="O6" s="56">
        <f>N6*0.00005</f>
        <v>0.1</v>
      </c>
      <c r="P6" s="57">
        <f t="shared" si="8"/>
        <v>395.20375384000005</v>
      </c>
      <c r="Q6" s="54">
        <f>265104+31423</f>
        <v>296527</v>
      </c>
      <c r="R6" s="58" t="s">
        <v>92</v>
      </c>
      <c r="S6" s="58">
        <f>'ZDF-Topserv'!C5</f>
        <v>190000</v>
      </c>
      <c r="T6" s="57">
        <f>(Q6*0.000107)+(S6*0.0000557)</f>
        <v>42.311388999999998</v>
      </c>
      <c r="U6" s="57">
        <f t="shared" si="9"/>
        <v>437.51514284000007</v>
      </c>
      <c r="V6" s="58" t="s">
        <v>120</v>
      </c>
      <c r="W6" s="54">
        <f>17420+1297</f>
        <v>18717</v>
      </c>
      <c r="X6" s="54">
        <v>1584</v>
      </c>
      <c r="Y6" s="69">
        <v>7621</v>
      </c>
      <c r="Z6" s="69">
        <v>3242</v>
      </c>
      <c r="AA6" s="59">
        <v>27.9</v>
      </c>
      <c r="AB6" s="69">
        <v>9650</v>
      </c>
      <c r="AC6" s="69">
        <v>850</v>
      </c>
      <c r="AD6" s="69">
        <v>17</v>
      </c>
      <c r="AE6" s="69">
        <v>22</v>
      </c>
      <c r="AF6" s="54">
        <v>91</v>
      </c>
      <c r="AG6" s="54">
        <v>27</v>
      </c>
      <c r="AH6" s="54">
        <v>37</v>
      </c>
    </row>
    <row r="7" spans="1:34" ht="15" customHeight="1" x14ac:dyDescent="0.3">
      <c r="A7" s="53" t="s">
        <v>45</v>
      </c>
      <c r="B7" s="54">
        <v>187710</v>
      </c>
      <c r="C7" s="55">
        <f t="shared" si="2"/>
        <v>45.80124</v>
      </c>
      <c r="D7" s="54">
        <v>0</v>
      </c>
      <c r="E7" s="55">
        <f t="shared" si="0"/>
        <v>0</v>
      </c>
      <c r="F7" s="54">
        <v>46725</v>
      </c>
      <c r="G7" s="69">
        <f t="shared" si="3"/>
        <v>457905.00000000006</v>
      </c>
      <c r="H7" s="55">
        <f t="shared" si="4"/>
        <v>159.33224999999999</v>
      </c>
      <c r="I7" s="54">
        <v>658</v>
      </c>
      <c r="J7" s="69">
        <f t="shared" si="5"/>
        <v>5527.2</v>
      </c>
      <c r="K7" s="55">
        <f t="shared" ref="K7:K11" si="10">I7*0.00303</f>
        <v>1.9937400000000001</v>
      </c>
      <c r="L7" s="69">
        <v>123</v>
      </c>
      <c r="M7" s="64">
        <f t="shared" si="7"/>
        <v>2.9765999999999999E-4</v>
      </c>
      <c r="N7" s="69">
        <v>2000</v>
      </c>
      <c r="O7" s="56">
        <f t="shared" ref="O7:O24" si="11">N7*0.00005</f>
        <v>0.1</v>
      </c>
      <c r="P7" s="57">
        <f t="shared" si="8"/>
        <v>207.22752765999999</v>
      </c>
      <c r="Q7" s="54">
        <v>63960</v>
      </c>
      <c r="R7" s="58" t="s">
        <v>92</v>
      </c>
      <c r="S7" s="58">
        <v>0</v>
      </c>
      <c r="T7" s="57">
        <f t="shared" ref="T7:T11" si="12">(Q7*0.000107)+(S7*0.0000557)</f>
        <v>6.8437200000000002</v>
      </c>
      <c r="U7" s="57">
        <f t="shared" si="9"/>
        <v>214.07124765999998</v>
      </c>
      <c r="V7" s="58" t="s">
        <v>120</v>
      </c>
      <c r="W7" s="54">
        <f>56.1*200</f>
        <v>11220</v>
      </c>
      <c r="X7" s="54">
        <v>2200</v>
      </c>
      <c r="Y7" s="125">
        <v>3421</v>
      </c>
      <c r="Z7" s="125">
        <v>300.39999999999998</v>
      </c>
      <c r="AA7" s="127">
        <v>14.7</v>
      </c>
      <c r="AB7" s="54">
        <v>2005</v>
      </c>
      <c r="AC7" s="54">
        <v>400</v>
      </c>
      <c r="AD7" s="54">
        <v>6</v>
      </c>
      <c r="AE7" s="54">
        <v>7</v>
      </c>
      <c r="AF7" s="54">
        <v>34</v>
      </c>
      <c r="AG7" s="54">
        <v>8</v>
      </c>
      <c r="AH7" s="54">
        <v>19</v>
      </c>
    </row>
    <row r="8" spans="1:34" ht="15" customHeight="1" x14ac:dyDescent="0.3">
      <c r="A8" s="53" t="s">
        <v>46</v>
      </c>
      <c r="B8" s="54">
        <v>255293</v>
      </c>
      <c r="C8" s="55">
        <f t="shared" si="2"/>
        <v>62.291491999999998</v>
      </c>
      <c r="D8" s="54">
        <v>0</v>
      </c>
      <c r="E8" s="55">
        <f t="shared" si="0"/>
        <v>0</v>
      </c>
      <c r="F8" s="54">
        <v>56480</v>
      </c>
      <c r="G8" s="69">
        <f t="shared" si="3"/>
        <v>553504</v>
      </c>
      <c r="H8" s="55">
        <f t="shared" si="4"/>
        <v>192.5968</v>
      </c>
      <c r="I8" s="54">
        <v>1748</v>
      </c>
      <c r="J8" s="69">
        <f t="shared" si="5"/>
        <v>14683.2</v>
      </c>
      <c r="K8" s="55">
        <f t="shared" si="10"/>
        <v>5.2964400000000005</v>
      </c>
      <c r="L8" s="69">
        <v>104</v>
      </c>
      <c r="M8" s="64">
        <f t="shared" si="7"/>
        <v>2.5168E-4</v>
      </c>
      <c r="N8" s="69">
        <v>0</v>
      </c>
      <c r="O8" s="56">
        <f t="shared" si="11"/>
        <v>0</v>
      </c>
      <c r="P8" s="57">
        <f t="shared" si="8"/>
        <v>260.18498368000002</v>
      </c>
      <c r="Q8" s="54">
        <v>51992</v>
      </c>
      <c r="R8" s="58" t="s">
        <v>92</v>
      </c>
      <c r="S8" s="58">
        <v>0</v>
      </c>
      <c r="T8" s="57">
        <f>(Q8*0.000107)+(S8*0.0000557)</f>
        <v>5.5631440000000003</v>
      </c>
      <c r="U8" s="57">
        <f t="shared" si="9"/>
        <v>265.74812768000004</v>
      </c>
      <c r="V8" s="58" t="s">
        <v>120</v>
      </c>
      <c r="W8" s="54">
        <v>2790</v>
      </c>
      <c r="X8" s="54">
        <v>2050</v>
      </c>
      <c r="Y8" s="126"/>
      <c r="Z8" s="126"/>
      <c r="AA8" s="128"/>
      <c r="AB8" s="54">
        <v>1832</v>
      </c>
      <c r="AC8" s="54">
        <v>295</v>
      </c>
      <c r="AD8" s="54">
        <v>6</v>
      </c>
      <c r="AE8" s="54">
        <v>6</v>
      </c>
      <c r="AF8" s="54">
        <v>28</v>
      </c>
      <c r="AG8" s="54">
        <v>11</v>
      </c>
      <c r="AH8" s="54">
        <v>11</v>
      </c>
    </row>
    <row r="9" spans="1:34" ht="15" customHeight="1" x14ac:dyDescent="0.3">
      <c r="A9" s="53" t="s">
        <v>47</v>
      </c>
      <c r="B9" s="54">
        <v>57446</v>
      </c>
      <c r="C9" s="55">
        <f t="shared" si="2"/>
        <v>14.016824</v>
      </c>
      <c r="D9" s="54">
        <v>0</v>
      </c>
      <c r="E9" s="55">
        <f t="shared" si="0"/>
        <v>0</v>
      </c>
      <c r="F9" s="69">
        <v>3783</v>
      </c>
      <c r="G9" s="69">
        <f t="shared" si="3"/>
        <v>37073.4</v>
      </c>
      <c r="H9" s="55">
        <f t="shared" si="4"/>
        <v>12.900029999999999</v>
      </c>
      <c r="I9" s="69">
        <v>0</v>
      </c>
      <c r="J9" s="69">
        <f t="shared" si="5"/>
        <v>0</v>
      </c>
      <c r="K9" s="55">
        <f t="shared" si="10"/>
        <v>0</v>
      </c>
      <c r="L9" s="69">
        <v>122</v>
      </c>
      <c r="M9" s="64">
        <f t="shared" si="7"/>
        <v>2.9524E-4</v>
      </c>
      <c r="N9" s="69">
        <v>0</v>
      </c>
      <c r="O9" s="56">
        <f t="shared" si="11"/>
        <v>0</v>
      </c>
      <c r="P9" s="57">
        <f t="shared" si="8"/>
        <v>26.917149240000001</v>
      </c>
      <c r="Q9" s="54">
        <v>4208</v>
      </c>
      <c r="R9" s="58" t="s">
        <v>92</v>
      </c>
      <c r="S9" s="58">
        <v>0</v>
      </c>
      <c r="T9" s="57">
        <f t="shared" si="12"/>
        <v>0.45025599999999999</v>
      </c>
      <c r="U9" s="57">
        <f t="shared" si="9"/>
        <v>27.36740524</v>
      </c>
      <c r="V9" s="58">
        <v>0</v>
      </c>
      <c r="W9" s="54">
        <v>426</v>
      </c>
      <c r="X9" s="54">
        <v>100</v>
      </c>
      <c r="Y9" s="69">
        <v>200</v>
      </c>
      <c r="Z9" s="69">
        <v>0</v>
      </c>
      <c r="AA9" s="59">
        <v>0.78</v>
      </c>
      <c r="AB9" s="54">
        <v>381</v>
      </c>
      <c r="AC9" s="54">
        <v>106</v>
      </c>
      <c r="AD9" s="69">
        <v>0</v>
      </c>
      <c r="AE9" s="69">
        <v>2</v>
      </c>
      <c r="AF9" s="54">
        <v>5</v>
      </c>
      <c r="AG9" s="54">
        <v>3</v>
      </c>
      <c r="AH9" s="54">
        <v>0</v>
      </c>
    </row>
    <row r="10" spans="1:34" ht="15" customHeight="1" x14ac:dyDescent="0.3">
      <c r="A10" s="53" t="s">
        <v>48</v>
      </c>
      <c r="B10" s="69">
        <v>48563</v>
      </c>
      <c r="C10" s="55">
        <f t="shared" si="2"/>
        <v>11.849371999999999</v>
      </c>
      <c r="D10" s="54">
        <v>0</v>
      </c>
      <c r="E10" s="55">
        <f t="shared" si="0"/>
        <v>0</v>
      </c>
      <c r="F10" s="69">
        <v>2584</v>
      </c>
      <c r="G10" s="69">
        <f t="shared" si="3"/>
        <v>25323.200000000001</v>
      </c>
      <c r="H10" s="55">
        <f t="shared" si="4"/>
        <v>8.8114399999999993</v>
      </c>
      <c r="I10" s="69">
        <v>455</v>
      </c>
      <c r="J10" s="69">
        <f t="shared" si="5"/>
        <v>3822</v>
      </c>
      <c r="K10" s="55">
        <f t="shared" si="10"/>
        <v>1.3786500000000002</v>
      </c>
      <c r="L10" s="69">
        <v>43</v>
      </c>
      <c r="M10" s="64">
        <f t="shared" si="7"/>
        <v>1.0406E-4</v>
      </c>
      <c r="N10" s="69">
        <v>0</v>
      </c>
      <c r="O10" s="56">
        <f t="shared" si="11"/>
        <v>0</v>
      </c>
      <c r="P10" s="57">
        <f t="shared" si="8"/>
        <v>22.039566060000002</v>
      </c>
      <c r="Q10" s="69">
        <v>15234</v>
      </c>
      <c r="R10" s="58" t="s">
        <v>92</v>
      </c>
      <c r="S10" s="58">
        <v>0</v>
      </c>
      <c r="T10" s="57">
        <f t="shared" si="12"/>
        <v>1.6300379999999999</v>
      </c>
      <c r="U10" s="57">
        <f t="shared" si="9"/>
        <v>23.669604060000001</v>
      </c>
      <c r="V10" s="58">
        <v>0</v>
      </c>
      <c r="W10" s="54">
        <v>5000</v>
      </c>
      <c r="X10" s="54">
        <v>21</v>
      </c>
      <c r="Y10" s="69">
        <v>400</v>
      </c>
      <c r="Z10" s="69">
        <v>0</v>
      </c>
      <c r="AA10" s="59">
        <v>1.45</v>
      </c>
      <c r="AB10" s="54">
        <v>535</v>
      </c>
      <c r="AC10" s="54">
        <v>379</v>
      </c>
      <c r="AD10" s="69">
        <v>1</v>
      </c>
      <c r="AE10" s="69">
        <v>1</v>
      </c>
      <c r="AF10" s="54">
        <v>7</v>
      </c>
      <c r="AG10" s="54">
        <v>4</v>
      </c>
      <c r="AH10" s="54">
        <v>4</v>
      </c>
    </row>
    <row r="11" spans="1:34" ht="15" customHeight="1" x14ac:dyDescent="0.3">
      <c r="A11" s="53" t="s">
        <v>49</v>
      </c>
      <c r="B11" s="69">
        <v>16123</v>
      </c>
      <c r="C11" s="55">
        <f t="shared" si="2"/>
        <v>3.9340120000000001</v>
      </c>
      <c r="D11" s="54">
        <v>0</v>
      </c>
      <c r="E11" s="55">
        <f t="shared" si="0"/>
        <v>0</v>
      </c>
      <c r="F11" s="69">
        <v>17369</v>
      </c>
      <c r="G11" s="69">
        <f t="shared" si="3"/>
        <v>170216.2</v>
      </c>
      <c r="H11" s="55">
        <f t="shared" si="4"/>
        <v>59.228289999999994</v>
      </c>
      <c r="I11" s="69">
        <v>5853</v>
      </c>
      <c r="J11" s="69">
        <f t="shared" si="5"/>
        <v>49165.200000000004</v>
      </c>
      <c r="K11" s="55">
        <f t="shared" si="10"/>
        <v>17.734590000000001</v>
      </c>
      <c r="L11" s="69">
        <v>33</v>
      </c>
      <c r="M11" s="64">
        <f t="shared" si="7"/>
        <v>7.9859999999999998E-5</v>
      </c>
      <c r="N11" s="69">
        <v>0</v>
      </c>
      <c r="O11" s="56">
        <f t="shared" si="11"/>
        <v>0</v>
      </c>
      <c r="P11" s="57">
        <f t="shared" si="8"/>
        <v>80.896971859999994</v>
      </c>
      <c r="Q11" s="54">
        <v>6634</v>
      </c>
      <c r="R11" s="58" t="s">
        <v>92</v>
      </c>
      <c r="S11" s="58">
        <v>0</v>
      </c>
      <c r="T11" s="57">
        <f t="shared" si="12"/>
        <v>0.70983799999999997</v>
      </c>
      <c r="U11" s="57">
        <f t="shared" si="9"/>
        <v>81.606809859999998</v>
      </c>
      <c r="V11" s="58">
        <v>0</v>
      </c>
      <c r="W11" s="54">
        <v>300</v>
      </c>
      <c r="X11" s="54">
        <v>1275</v>
      </c>
      <c r="Y11" s="69">
        <v>635</v>
      </c>
      <c r="Z11" s="69">
        <v>8</v>
      </c>
      <c r="AA11" s="59">
        <v>3.22</v>
      </c>
      <c r="AB11" s="69">
        <v>692</v>
      </c>
      <c r="AC11" s="69">
        <v>90</v>
      </c>
      <c r="AD11" s="69">
        <v>3</v>
      </c>
      <c r="AE11" s="69">
        <v>6</v>
      </c>
      <c r="AF11" s="69">
        <v>18</v>
      </c>
      <c r="AG11" s="69">
        <v>4</v>
      </c>
      <c r="AH11" s="69">
        <v>7</v>
      </c>
    </row>
    <row r="12" spans="1:34" ht="15" customHeight="1" x14ac:dyDescent="0.3">
      <c r="A12" s="60" t="s">
        <v>50</v>
      </c>
      <c r="B12" s="61">
        <f t="shared" ref="B12:S12" si="13">SUM(B4:B11)</f>
        <v>595540</v>
      </c>
      <c r="C12" s="62">
        <f t="shared" si="13"/>
        <v>145.31175999999996</v>
      </c>
      <c r="D12" s="61">
        <f t="shared" si="13"/>
        <v>0</v>
      </c>
      <c r="E12" s="62">
        <f t="shared" si="13"/>
        <v>0</v>
      </c>
      <c r="F12" s="61">
        <f t="shared" si="13"/>
        <v>394009</v>
      </c>
      <c r="G12" s="61">
        <f t="shared" si="13"/>
        <v>3861288.2</v>
      </c>
      <c r="H12" s="62">
        <f t="shared" si="13"/>
        <v>1343.5706899999998</v>
      </c>
      <c r="I12" s="61">
        <f t="shared" si="13"/>
        <v>41582</v>
      </c>
      <c r="J12" s="61">
        <f t="shared" si="13"/>
        <v>349288.80000000005</v>
      </c>
      <c r="K12" s="62">
        <f t="shared" si="13"/>
        <v>125.99346000000001</v>
      </c>
      <c r="L12" s="61">
        <f t="shared" si="13"/>
        <v>4655</v>
      </c>
      <c r="M12" s="99">
        <f t="shared" si="13"/>
        <v>1.12651E-2</v>
      </c>
      <c r="N12" s="61">
        <f t="shared" si="13"/>
        <v>10000</v>
      </c>
      <c r="O12" s="62">
        <f t="shared" si="13"/>
        <v>0.5</v>
      </c>
      <c r="P12" s="62">
        <f t="shared" si="13"/>
        <v>1615.3871750999999</v>
      </c>
      <c r="Q12" s="61">
        <f t="shared" si="13"/>
        <v>912452</v>
      </c>
      <c r="R12" s="60"/>
      <c r="S12" s="61">
        <f t="shared" si="13"/>
        <v>445364.8</v>
      </c>
      <c r="T12" s="62">
        <f>SUM(T4:T11)</f>
        <v>122.43918336</v>
      </c>
      <c r="U12" s="98">
        <f>SUM(U4:U11)</f>
        <v>1737.8263584599999</v>
      </c>
      <c r="V12" s="66"/>
      <c r="W12" s="63">
        <f>SUM(W4:W11)</f>
        <v>57149</v>
      </c>
      <c r="X12" s="63">
        <f t="shared" ref="X12:AE12" si="14">SUM(X4:X11)</f>
        <v>10230</v>
      </c>
      <c r="Y12" s="63">
        <f t="shared" si="14"/>
        <v>17998</v>
      </c>
      <c r="Z12" s="63">
        <f t="shared" si="14"/>
        <v>4476.3999999999996</v>
      </c>
      <c r="AA12" s="63">
        <f t="shared" si="14"/>
        <v>75.73</v>
      </c>
      <c r="AB12" s="63">
        <f t="shared" si="14"/>
        <v>25755</v>
      </c>
      <c r="AC12" s="63">
        <f t="shared" si="14"/>
        <v>4005</v>
      </c>
      <c r="AD12" s="63">
        <f t="shared" si="14"/>
        <v>56</v>
      </c>
      <c r="AE12" s="63">
        <f t="shared" si="14"/>
        <v>66</v>
      </c>
      <c r="AF12" s="63">
        <f>SUM(AF4:AF11)</f>
        <v>308</v>
      </c>
      <c r="AG12" s="63">
        <f>SUM(AG4:AG11)</f>
        <v>107</v>
      </c>
      <c r="AH12" s="63">
        <f>SUM(AH4:AH11)</f>
        <v>133</v>
      </c>
    </row>
    <row r="13" spans="1:34" ht="15" customHeight="1" x14ac:dyDescent="0.3">
      <c r="A13" s="53" t="s">
        <v>86</v>
      </c>
      <c r="B13" s="54">
        <v>562250</v>
      </c>
      <c r="C13" s="55">
        <f t="shared" ref="C13:C24" si="15">B13*0.000244</f>
        <v>137.18899999999999</v>
      </c>
      <c r="D13" s="54">
        <v>0</v>
      </c>
      <c r="E13" s="55">
        <f>D13*0.000368</f>
        <v>0</v>
      </c>
      <c r="F13" s="54">
        <f>106456+31427</f>
        <v>137883</v>
      </c>
      <c r="G13" s="69">
        <f t="shared" si="3"/>
        <v>1351253.4000000001</v>
      </c>
      <c r="H13" s="55">
        <f t="shared" ref="H13:H24" si="16">F13*0.00341</f>
        <v>470.18102999999996</v>
      </c>
      <c r="I13" s="54">
        <v>0</v>
      </c>
      <c r="J13" s="69">
        <f t="shared" si="5"/>
        <v>0</v>
      </c>
      <c r="K13" s="55">
        <f t="shared" ref="K13:K24" si="17">I13*0.00303</f>
        <v>0</v>
      </c>
      <c r="L13" s="54">
        <v>596</v>
      </c>
      <c r="M13" s="64">
        <f>L13*0.00000242</f>
        <v>1.44232E-3</v>
      </c>
      <c r="N13" s="54">
        <v>26986</v>
      </c>
      <c r="O13" s="59">
        <f t="shared" si="11"/>
        <v>1.3493000000000002</v>
      </c>
      <c r="P13" s="57">
        <f t="shared" si="8"/>
        <v>608.72077231999992</v>
      </c>
      <c r="Q13" s="54">
        <v>208974</v>
      </c>
      <c r="R13" s="58" t="s">
        <v>93</v>
      </c>
      <c r="S13" s="58">
        <v>0</v>
      </c>
      <c r="T13" s="57">
        <f>(Q13*0.000435)+(S6*0.0000557)</f>
        <v>101.48669</v>
      </c>
      <c r="U13" s="57">
        <f t="shared" si="9"/>
        <v>710.20746231999988</v>
      </c>
      <c r="V13" s="58" t="s">
        <v>120</v>
      </c>
      <c r="W13" s="54">
        <f>1010+4239</f>
        <v>5249</v>
      </c>
      <c r="X13" s="54">
        <v>2475</v>
      </c>
      <c r="Y13" s="54">
        <v>6211</v>
      </c>
      <c r="Z13" s="54">
        <v>2540</v>
      </c>
      <c r="AA13" s="59">
        <v>33.200000000000003</v>
      </c>
      <c r="AB13" s="54">
        <v>6400</v>
      </c>
      <c r="AC13" s="54">
        <v>6000</v>
      </c>
      <c r="AD13" s="54">
        <v>13</v>
      </c>
      <c r="AE13" s="54">
        <v>32</v>
      </c>
      <c r="AF13" s="54">
        <v>127</v>
      </c>
      <c r="AG13" s="54">
        <v>43</v>
      </c>
      <c r="AH13" s="54">
        <v>54</v>
      </c>
    </row>
    <row r="14" spans="1:34" ht="15" customHeight="1" x14ac:dyDescent="0.3">
      <c r="A14" s="53" t="s">
        <v>87</v>
      </c>
      <c r="B14" s="54">
        <v>0</v>
      </c>
      <c r="C14" s="55">
        <f t="shared" si="15"/>
        <v>0</v>
      </c>
      <c r="D14" s="54">
        <v>255000</v>
      </c>
      <c r="E14" s="55">
        <f t="shared" ref="E14:E24" si="18">D14*0.000368</f>
        <v>93.84</v>
      </c>
      <c r="F14" s="54">
        <f>62075+19655</f>
        <v>81730</v>
      </c>
      <c r="G14" s="69">
        <f t="shared" si="3"/>
        <v>800954</v>
      </c>
      <c r="H14" s="55">
        <f t="shared" si="16"/>
        <v>278.69929999999999</v>
      </c>
      <c r="I14" s="54">
        <v>0</v>
      </c>
      <c r="J14" s="69">
        <f t="shared" si="5"/>
        <v>0</v>
      </c>
      <c r="K14" s="55">
        <f t="shared" si="17"/>
        <v>0</v>
      </c>
      <c r="L14" s="54">
        <v>272</v>
      </c>
      <c r="M14" s="64">
        <f>L14*0.00000242</f>
        <v>6.5824000000000004E-4</v>
      </c>
      <c r="N14" s="54">
        <v>0</v>
      </c>
      <c r="O14" s="59">
        <f t="shared" si="11"/>
        <v>0</v>
      </c>
      <c r="P14" s="57">
        <f t="shared" si="8"/>
        <v>372.53995824000003</v>
      </c>
      <c r="Q14" s="54">
        <v>58276</v>
      </c>
      <c r="R14" s="58" t="s">
        <v>93</v>
      </c>
      <c r="S14" s="58">
        <v>0</v>
      </c>
      <c r="T14" s="57">
        <f t="shared" ref="T14:T21" si="19">(Q14*0.000435)+(S7*0.0000557)</f>
        <v>25.350059999999999</v>
      </c>
      <c r="U14" s="57">
        <f t="shared" si="9"/>
        <v>397.89001824000002</v>
      </c>
      <c r="V14" s="58" t="s">
        <v>120</v>
      </c>
      <c r="W14" s="54">
        <f>2046+185</f>
        <v>2231</v>
      </c>
      <c r="X14" s="54">
        <v>1300</v>
      </c>
      <c r="Y14" s="54">
        <v>3156</v>
      </c>
      <c r="Z14" s="54">
        <v>1443</v>
      </c>
      <c r="AA14" s="59">
        <v>12.9</v>
      </c>
      <c r="AB14" s="54">
        <v>2986</v>
      </c>
      <c r="AC14" s="54">
        <v>445</v>
      </c>
      <c r="AD14" s="54">
        <v>6</v>
      </c>
      <c r="AE14" s="54">
        <v>12</v>
      </c>
      <c r="AF14" s="54">
        <v>41</v>
      </c>
      <c r="AG14" s="54">
        <v>11</v>
      </c>
      <c r="AH14" s="54">
        <v>25</v>
      </c>
    </row>
    <row r="15" spans="1:34" ht="15" customHeight="1" x14ac:dyDescent="0.3">
      <c r="A15" s="53" t="s">
        <v>88</v>
      </c>
      <c r="B15" s="54">
        <v>173850</v>
      </c>
      <c r="C15" s="55">
        <f t="shared" si="15"/>
        <v>42.419399999999996</v>
      </c>
      <c r="D15" s="54">
        <v>0</v>
      </c>
      <c r="E15" s="55">
        <f t="shared" si="18"/>
        <v>0</v>
      </c>
      <c r="F15" s="54">
        <f>109874+28424</f>
        <v>138298</v>
      </c>
      <c r="G15" s="69">
        <f t="shared" si="3"/>
        <v>1355320.4000000001</v>
      </c>
      <c r="H15" s="55">
        <f t="shared" si="16"/>
        <v>471.59618</v>
      </c>
      <c r="I15" s="54">
        <v>0</v>
      </c>
      <c r="J15" s="69">
        <f t="shared" si="5"/>
        <v>0</v>
      </c>
      <c r="K15" s="55">
        <f t="shared" si="17"/>
        <v>0</v>
      </c>
      <c r="L15" s="55">
        <v>752</v>
      </c>
      <c r="M15" s="64">
        <f>L15*0.00000242</f>
        <v>1.8198400000000001E-3</v>
      </c>
      <c r="N15" s="54">
        <v>7168</v>
      </c>
      <c r="O15" s="59">
        <f t="shared" si="11"/>
        <v>0.3584</v>
      </c>
      <c r="P15" s="57">
        <f t="shared" si="8"/>
        <v>514.37579984000001</v>
      </c>
      <c r="Q15" s="54">
        <v>227582</v>
      </c>
      <c r="R15" s="58" t="s">
        <v>93</v>
      </c>
      <c r="S15" s="58">
        <f>'ZDF-Topserv'!C7</f>
        <v>617500</v>
      </c>
      <c r="T15" s="57">
        <f t="shared" si="19"/>
        <v>98.998170000000002</v>
      </c>
      <c r="U15" s="57">
        <f t="shared" si="9"/>
        <v>613.37396983999997</v>
      </c>
      <c r="V15" s="58" t="s">
        <v>120</v>
      </c>
      <c r="W15" s="54">
        <f>3992+21144</f>
        <v>25136</v>
      </c>
      <c r="X15" s="54">
        <v>6442</v>
      </c>
      <c r="Y15" s="54">
        <v>8539</v>
      </c>
      <c r="Z15" s="54">
        <v>3761</v>
      </c>
      <c r="AA15" s="59">
        <v>39.5</v>
      </c>
      <c r="AB15" s="54">
        <v>9000</v>
      </c>
      <c r="AC15" s="54">
        <v>2300</v>
      </c>
      <c r="AD15" s="54">
        <v>15</v>
      </c>
      <c r="AE15" s="54">
        <v>20</v>
      </c>
      <c r="AF15" s="54">
        <v>111</v>
      </c>
      <c r="AG15" s="54">
        <v>47</v>
      </c>
      <c r="AH15" s="54">
        <v>50</v>
      </c>
    </row>
    <row r="16" spans="1:34" ht="15" customHeight="1" x14ac:dyDescent="0.3">
      <c r="A16" s="53" t="s">
        <v>89</v>
      </c>
      <c r="B16" s="54">
        <v>277963</v>
      </c>
      <c r="C16" s="55">
        <f t="shared" si="15"/>
        <v>67.822971999999993</v>
      </c>
      <c r="D16" s="54">
        <v>0</v>
      </c>
      <c r="E16" s="55">
        <f t="shared" si="18"/>
        <v>0</v>
      </c>
      <c r="F16" s="54">
        <f>26876+7605</f>
        <v>34481</v>
      </c>
      <c r="G16" s="69">
        <f t="shared" si="3"/>
        <v>337913.80000000005</v>
      </c>
      <c r="H16" s="55">
        <f t="shared" si="16"/>
        <v>117.58020999999999</v>
      </c>
      <c r="I16" s="54">
        <v>867</v>
      </c>
      <c r="J16" s="69">
        <f t="shared" si="5"/>
        <v>7282.8</v>
      </c>
      <c r="K16" s="55">
        <f t="shared" si="17"/>
        <v>2.6270100000000003</v>
      </c>
      <c r="L16" s="55">
        <v>233</v>
      </c>
      <c r="M16" s="64">
        <f t="shared" ref="M16:M24" si="20">L16*0.00000242</f>
        <v>5.6386000000000001E-4</v>
      </c>
      <c r="N16" s="54">
        <v>0</v>
      </c>
      <c r="O16" s="59">
        <f t="shared" si="11"/>
        <v>0</v>
      </c>
      <c r="P16" s="57">
        <f t="shared" si="8"/>
        <v>188.03075586</v>
      </c>
      <c r="Q16" s="54">
        <v>77154</v>
      </c>
      <c r="R16" s="58" t="s">
        <v>93</v>
      </c>
      <c r="S16" s="58">
        <v>0</v>
      </c>
      <c r="T16" s="57">
        <f t="shared" si="19"/>
        <v>33.561990000000002</v>
      </c>
      <c r="U16" s="57">
        <f t="shared" si="9"/>
        <v>221.59274586000001</v>
      </c>
      <c r="V16" s="58" t="s">
        <v>120</v>
      </c>
      <c r="W16" s="54">
        <f>1721+12677</f>
        <v>14398</v>
      </c>
      <c r="X16" s="54">
        <v>403</v>
      </c>
      <c r="Y16" s="54">
        <v>855</v>
      </c>
      <c r="Z16" s="54">
        <v>1</v>
      </c>
      <c r="AA16" s="59">
        <v>5.7</v>
      </c>
      <c r="AB16" s="54">
        <v>2376</v>
      </c>
      <c r="AC16" s="54">
        <v>1258</v>
      </c>
      <c r="AD16" s="54">
        <v>8</v>
      </c>
      <c r="AE16" s="54">
        <v>7</v>
      </c>
      <c r="AF16" s="54">
        <v>32</v>
      </c>
      <c r="AG16" s="54">
        <v>16</v>
      </c>
      <c r="AH16" s="54">
        <v>18</v>
      </c>
    </row>
    <row r="17" spans="1:34" ht="15" customHeight="1" x14ac:dyDescent="0.3">
      <c r="A17" s="53" t="s">
        <v>108</v>
      </c>
      <c r="B17" s="54">
        <v>0</v>
      </c>
      <c r="C17" s="55">
        <f t="shared" ref="C17:C18" si="21">B17*0.000244</f>
        <v>0</v>
      </c>
      <c r="D17" s="54">
        <v>0</v>
      </c>
      <c r="E17" s="55">
        <f t="shared" si="18"/>
        <v>0</v>
      </c>
      <c r="F17" s="54">
        <v>0</v>
      </c>
      <c r="G17" s="69">
        <f t="shared" si="3"/>
        <v>0</v>
      </c>
      <c r="H17" s="55">
        <f t="shared" ref="H17:H18" si="22">F17*0.00341</f>
        <v>0</v>
      </c>
      <c r="I17" s="54">
        <v>0</v>
      </c>
      <c r="J17" s="69">
        <f t="shared" si="5"/>
        <v>0</v>
      </c>
      <c r="K17" s="55">
        <f t="shared" ref="K17:K18" si="23">I17*0.00303</f>
        <v>0</v>
      </c>
      <c r="L17" s="55">
        <v>0</v>
      </c>
      <c r="M17" s="64">
        <f t="shared" si="20"/>
        <v>0</v>
      </c>
      <c r="N17" s="54">
        <v>0</v>
      </c>
      <c r="O17" s="59">
        <f t="shared" si="11"/>
        <v>0</v>
      </c>
      <c r="P17" s="57">
        <f t="shared" si="8"/>
        <v>0</v>
      </c>
      <c r="Q17" s="54">
        <v>0</v>
      </c>
      <c r="R17" s="58" t="s">
        <v>116</v>
      </c>
      <c r="S17" s="58">
        <v>0</v>
      </c>
      <c r="T17" s="57">
        <f t="shared" si="19"/>
        <v>0</v>
      </c>
      <c r="U17" s="57">
        <f t="shared" ref="U17:U18" si="24">P17+T17</f>
        <v>0</v>
      </c>
      <c r="V17" s="58" t="s">
        <v>120</v>
      </c>
      <c r="W17" s="54">
        <v>0</v>
      </c>
      <c r="X17" s="54">
        <v>0</v>
      </c>
      <c r="Y17" s="54">
        <v>0</v>
      </c>
      <c r="Z17" s="54">
        <v>0</v>
      </c>
      <c r="AA17" s="59">
        <v>0</v>
      </c>
      <c r="AB17" s="54">
        <v>0</v>
      </c>
      <c r="AC17" s="54">
        <v>0</v>
      </c>
      <c r="AD17" s="54">
        <v>0</v>
      </c>
      <c r="AE17" s="54">
        <v>0</v>
      </c>
      <c r="AF17" s="54">
        <v>0</v>
      </c>
      <c r="AG17" s="54">
        <v>0</v>
      </c>
      <c r="AH17" s="54">
        <v>0</v>
      </c>
    </row>
    <row r="18" spans="1:34" ht="15" customHeight="1" x14ac:dyDescent="0.3">
      <c r="A18" s="53" t="s">
        <v>90</v>
      </c>
      <c r="B18" s="69">
        <v>687074</v>
      </c>
      <c r="C18" s="68">
        <f t="shared" si="21"/>
        <v>167.64605599999999</v>
      </c>
      <c r="D18" s="69">
        <v>0</v>
      </c>
      <c r="E18" s="68">
        <f t="shared" si="18"/>
        <v>0</v>
      </c>
      <c r="F18" s="69">
        <v>56599</v>
      </c>
      <c r="G18" s="69">
        <f t="shared" si="3"/>
        <v>554670.20000000007</v>
      </c>
      <c r="H18" s="68">
        <f t="shared" si="22"/>
        <v>193.00259</v>
      </c>
      <c r="I18" s="69">
        <v>733</v>
      </c>
      <c r="J18" s="69">
        <f t="shared" si="5"/>
        <v>6157.2</v>
      </c>
      <c r="K18" s="68">
        <f t="shared" si="23"/>
        <v>2.22099</v>
      </c>
      <c r="L18" s="68">
        <v>309</v>
      </c>
      <c r="M18" s="95">
        <f t="shared" si="20"/>
        <v>7.4778000000000008E-4</v>
      </c>
      <c r="N18" s="69">
        <v>3572</v>
      </c>
      <c r="O18" s="93">
        <f t="shared" si="11"/>
        <v>0.17860000000000001</v>
      </c>
      <c r="P18" s="57">
        <f t="shared" si="8"/>
        <v>363.04898377999996</v>
      </c>
      <c r="Q18" s="69">
        <v>90595</v>
      </c>
      <c r="R18" s="97" t="s">
        <v>92</v>
      </c>
      <c r="S18" s="97">
        <f>'ZDF-Topserv'!C8</f>
        <v>237500</v>
      </c>
      <c r="T18" s="57">
        <f t="shared" ref="T18" si="25">(Q18*0.000107)+(S18*0.0000557)</f>
        <v>22.922415000000001</v>
      </c>
      <c r="U18" s="96">
        <f t="shared" si="24"/>
        <v>385.97139877999996</v>
      </c>
      <c r="V18" s="97" t="s">
        <v>120</v>
      </c>
      <c r="W18" s="69">
        <v>5132</v>
      </c>
      <c r="X18" s="69">
        <v>1688</v>
      </c>
      <c r="Y18" s="69">
        <v>5392</v>
      </c>
      <c r="Z18" s="69">
        <f>Y18*0.15</f>
        <v>808.8</v>
      </c>
      <c r="AA18" s="93">
        <v>20</v>
      </c>
      <c r="AB18" s="69">
        <v>4110</v>
      </c>
      <c r="AC18" s="69">
        <v>1800</v>
      </c>
      <c r="AD18" s="69">
        <v>9</v>
      </c>
      <c r="AE18" s="69">
        <v>12</v>
      </c>
      <c r="AF18" s="69">
        <v>70</v>
      </c>
      <c r="AG18" s="69">
        <v>26</v>
      </c>
      <c r="AH18" s="69">
        <v>28</v>
      </c>
    </row>
    <row r="19" spans="1:34" ht="15" customHeight="1" x14ac:dyDescent="0.3">
      <c r="A19" s="53" t="s">
        <v>110</v>
      </c>
      <c r="B19" s="54">
        <v>0</v>
      </c>
      <c r="C19" s="55">
        <f t="shared" si="15"/>
        <v>0</v>
      </c>
      <c r="D19" s="54">
        <v>144000</v>
      </c>
      <c r="E19" s="55">
        <f t="shared" si="18"/>
        <v>52.991999999999997</v>
      </c>
      <c r="F19" s="54">
        <v>2019</v>
      </c>
      <c r="G19" s="69">
        <f t="shared" si="3"/>
        <v>19786.2</v>
      </c>
      <c r="H19" s="55">
        <f t="shared" si="16"/>
        <v>6.8847899999999997</v>
      </c>
      <c r="I19" s="54">
        <v>0</v>
      </c>
      <c r="J19" s="69">
        <f t="shared" si="5"/>
        <v>0</v>
      </c>
      <c r="K19" s="55">
        <f t="shared" si="17"/>
        <v>0</v>
      </c>
      <c r="L19" s="55">
        <v>37</v>
      </c>
      <c r="M19" s="64">
        <f t="shared" si="20"/>
        <v>8.954E-5</v>
      </c>
      <c r="N19" s="54">
        <v>0</v>
      </c>
      <c r="O19" s="59">
        <f t="shared" si="11"/>
        <v>0</v>
      </c>
      <c r="P19" s="57">
        <f t="shared" si="8"/>
        <v>59.876879539999997</v>
      </c>
      <c r="Q19" s="54">
        <v>14837</v>
      </c>
      <c r="R19" s="58" t="s">
        <v>93</v>
      </c>
      <c r="S19" s="58">
        <v>0</v>
      </c>
      <c r="T19" s="57">
        <f t="shared" si="19"/>
        <v>31.260914359999997</v>
      </c>
      <c r="U19" s="57">
        <f t="shared" si="9"/>
        <v>91.137793899999991</v>
      </c>
      <c r="V19" s="58" t="s">
        <v>120</v>
      </c>
      <c r="W19" s="54">
        <f>26+402</f>
        <v>428</v>
      </c>
      <c r="X19" s="54">
        <v>15</v>
      </c>
      <c r="Y19" s="54">
        <v>131</v>
      </c>
      <c r="Z19" s="54">
        <v>0</v>
      </c>
      <c r="AA19" s="59">
        <v>2</v>
      </c>
      <c r="AB19" s="54">
        <v>522</v>
      </c>
      <c r="AC19" s="54">
        <v>118</v>
      </c>
      <c r="AD19" s="54">
        <v>0</v>
      </c>
      <c r="AE19" s="54">
        <v>2</v>
      </c>
      <c r="AF19" s="54">
        <v>8</v>
      </c>
      <c r="AG19" s="54">
        <v>6</v>
      </c>
      <c r="AH19" s="54">
        <v>0</v>
      </c>
    </row>
    <row r="20" spans="1:34" ht="15" customHeight="1" x14ac:dyDescent="0.3">
      <c r="A20" s="60" t="s">
        <v>109</v>
      </c>
      <c r="B20" s="61">
        <f t="shared" ref="B20:S20" si="26">SUM(B13:B19)</f>
        <v>1701137</v>
      </c>
      <c r="C20" s="62">
        <f t="shared" si="26"/>
        <v>415.07742799999994</v>
      </c>
      <c r="D20" s="61">
        <f t="shared" si="26"/>
        <v>399000</v>
      </c>
      <c r="E20" s="62">
        <f t="shared" si="26"/>
        <v>146.83199999999999</v>
      </c>
      <c r="F20" s="61">
        <f t="shared" si="26"/>
        <v>451010</v>
      </c>
      <c r="G20" s="61">
        <f t="shared" si="26"/>
        <v>4419898.0000000009</v>
      </c>
      <c r="H20" s="62">
        <f t="shared" si="26"/>
        <v>1537.9441000000002</v>
      </c>
      <c r="I20" s="61">
        <f t="shared" si="26"/>
        <v>1600</v>
      </c>
      <c r="J20" s="61">
        <f t="shared" si="26"/>
        <v>13440</v>
      </c>
      <c r="K20" s="62">
        <f t="shared" si="26"/>
        <v>4.8480000000000008</v>
      </c>
      <c r="L20" s="61">
        <f t="shared" si="26"/>
        <v>2199</v>
      </c>
      <c r="M20" s="99">
        <f t="shared" si="26"/>
        <v>5.3215800000000002E-3</v>
      </c>
      <c r="N20" s="61">
        <f t="shared" si="26"/>
        <v>37726</v>
      </c>
      <c r="O20" s="76">
        <f t="shared" si="26"/>
        <v>1.8863000000000003</v>
      </c>
      <c r="P20" s="98">
        <f t="shared" si="26"/>
        <v>2106.59314958</v>
      </c>
      <c r="Q20" s="61">
        <f t="shared" si="26"/>
        <v>677418</v>
      </c>
      <c r="R20" s="60"/>
      <c r="S20" s="61">
        <f t="shared" si="26"/>
        <v>855000</v>
      </c>
      <c r="T20" s="62">
        <f>SUM(T13:T19)</f>
        <v>313.58023936000001</v>
      </c>
      <c r="U20" s="98">
        <f>SUM(U13:U19)</f>
        <v>2420.1733889399998</v>
      </c>
      <c r="V20" s="66"/>
      <c r="W20" s="61">
        <f t="shared" ref="W20:AH20" si="27">SUM(W13:W19)</f>
        <v>52574</v>
      </c>
      <c r="X20" s="61">
        <f t="shared" si="27"/>
        <v>12323</v>
      </c>
      <c r="Y20" s="61">
        <f t="shared" si="27"/>
        <v>24284</v>
      </c>
      <c r="Z20" s="61">
        <f t="shared" si="27"/>
        <v>8553.7999999999993</v>
      </c>
      <c r="AA20" s="61">
        <f t="shared" si="27"/>
        <v>113.3</v>
      </c>
      <c r="AB20" s="61">
        <f t="shared" si="27"/>
        <v>25394</v>
      </c>
      <c r="AC20" s="61">
        <f t="shared" si="27"/>
        <v>11921</v>
      </c>
      <c r="AD20" s="61">
        <f t="shared" si="27"/>
        <v>51</v>
      </c>
      <c r="AE20" s="61">
        <f t="shared" si="27"/>
        <v>85</v>
      </c>
      <c r="AF20" s="61">
        <f t="shared" si="27"/>
        <v>389</v>
      </c>
      <c r="AG20" s="61">
        <f t="shared" si="27"/>
        <v>149</v>
      </c>
      <c r="AH20" s="61">
        <f t="shared" si="27"/>
        <v>175</v>
      </c>
    </row>
    <row r="21" spans="1:34" ht="15" customHeight="1" x14ac:dyDescent="0.3">
      <c r="A21" s="53" t="s">
        <v>7</v>
      </c>
      <c r="B21" s="69">
        <v>91718</v>
      </c>
      <c r="C21" s="68">
        <f t="shared" si="15"/>
        <v>22.379192</v>
      </c>
      <c r="D21" s="69">
        <v>0</v>
      </c>
      <c r="E21" s="68">
        <f t="shared" si="18"/>
        <v>0</v>
      </c>
      <c r="F21" s="69">
        <v>192529</v>
      </c>
      <c r="G21" s="69">
        <f t="shared" si="3"/>
        <v>1886784.2000000002</v>
      </c>
      <c r="H21" s="68">
        <f t="shared" si="16"/>
        <v>656.52388999999994</v>
      </c>
      <c r="I21" s="69">
        <v>41371</v>
      </c>
      <c r="J21" s="69">
        <f t="shared" si="5"/>
        <v>347516.4</v>
      </c>
      <c r="K21" s="68">
        <f t="shared" si="17"/>
        <v>125.35413000000001</v>
      </c>
      <c r="L21" s="68">
        <v>400</v>
      </c>
      <c r="M21" s="95">
        <f t="shared" si="20"/>
        <v>9.68E-4</v>
      </c>
      <c r="N21" s="69">
        <v>0</v>
      </c>
      <c r="O21" s="93">
        <f t="shared" si="11"/>
        <v>0</v>
      </c>
      <c r="P21" s="96">
        <f t="shared" si="8"/>
        <v>804.25817999999992</v>
      </c>
      <c r="Q21" s="69">
        <v>125985</v>
      </c>
      <c r="R21" s="97" t="s">
        <v>93</v>
      </c>
      <c r="S21" s="97">
        <f>'ZDF-Topserv'!C6</f>
        <v>421344</v>
      </c>
      <c r="T21" s="96">
        <f t="shared" si="19"/>
        <v>54.803474999999999</v>
      </c>
      <c r="U21" s="96">
        <f t="shared" si="9"/>
        <v>859.06165499999997</v>
      </c>
      <c r="V21" s="97" t="s">
        <v>120</v>
      </c>
      <c r="W21" s="69">
        <v>11663</v>
      </c>
      <c r="X21" s="69">
        <v>9702</v>
      </c>
      <c r="Y21" s="69">
        <v>9064</v>
      </c>
      <c r="Z21" s="69">
        <f>Y21*0.25</f>
        <v>2266</v>
      </c>
      <c r="AA21" s="93">
        <v>40</v>
      </c>
      <c r="AB21" s="69">
        <v>8000</v>
      </c>
      <c r="AC21" s="69">
        <v>2000</v>
      </c>
      <c r="AD21" s="69">
        <v>18</v>
      </c>
      <c r="AE21" s="69">
        <v>30</v>
      </c>
      <c r="AF21" s="69">
        <v>132</v>
      </c>
      <c r="AG21" s="69">
        <v>42</v>
      </c>
      <c r="AH21" s="69">
        <v>74</v>
      </c>
    </row>
    <row r="22" spans="1:34" ht="15" customHeight="1" x14ac:dyDescent="0.3">
      <c r="A22" s="53" t="s">
        <v>111</v>
      </c>
      <c r="B22" s="69">
        <v>0</v>
      </c>
      <c r="C22" s="68">
        <f t="shared" si="15"/>
        <v>0</v>
      </c>
      <c r="D22" s="69">
        <v>8156</v>
      </c>
      <c r="E22" s="68">
        <f t="shared" si="18"/>
        <v>3.0014080000000001</v>
      </c>
      <c r="F22" s="69">
        <v>13000</v>
      </c>
      <c r="G22" s="69">
        <f t="shared" si="3"/>
        <v>127400.00000000001</v>
      </c>
      <c r="H22" s="68">
        <f t="shared" si="16"/>
        <v>44.33</v>
      </c>
      <c r="I22" s="69">
        <v>0</v>
      </c>
      <c r="J22" s="69">
        <f t="shared" si="5"/>
        <v>0</v>
      </c>
      <c r="K22" s="68">
        <f t="shared" si="17"/>
        <v>0</v>
      </c>
      <c r="L22" s="68">
        <v>58</v>
      </c>
      <c r="M22" s="95">
        <f t="shared" si="20"/>
        <v>1.4036000000000002E-4</v>
      </c>
      <c r="N22" s="69">
        <v>0</v>
      </c>
      <c r="O22" s="93">
        <f t="shared" ref="O22" si="28">N22*0.00005</f>
        <v>0</v>
      </c>
      <c r="P22" s="96">
        <f t="shared" si="8"/>
        <v>47.331548359999999</v>
      </c>
      <c r="Q22" s="69">
        <v>6000</v>
      </c>
      <c r="R22" s="97" t="s">
        <v>93</v>
      </c>
      <c r="S22" s="97">
        <v>0</v>
      </c>
      <c r="T22" s="96">
        <f t="shared" ref="T22" si="29">(Q22*0.000107)+(S22*0.0000557)</f>
        <v>0.64200000000000002</v>
      </c>
      <c r="U22" s="96">
        <f t="shared" si="9"/>
        <v>47.973548360000002</v>
      </c>
      <c r="V22" s="97">
        <v>0</v>
      </c>
      <c r="W22" s="69">
        <v>160</v>
      </c>
      <c r="X22" s="69">
        <v>0</v>
      </c>
      <c r="Y22" s="69">
        <f>Y21/AA21*AA22</f>
        <v>385.21999999999997</v>
      </c>
      <c r="Z22" s="69">
        <f>Z21/Y21*Y22</f>
        <v>96.304999999999993</v>
      </c>
      <c r="AA22" s="93">
        <v>1.7</v>
      </c>
      <c r="AB22" s="69">
        <v>1142</v>
      </c>
      <c r="AC22" s="69">
        <v>354</v>
      </c>
      <c r="AD22" s="69">
        <v>3</v>
      </c>
      <c r="AE22" s="69">
        <v>2</v>
      </c>
      <c r="AF22" s="69">
        <v>8</v>
      </c>
      <c r="AG22" s="69">
        <v>4</v>
      </c>
      <c r="AH22" s="69">
        <v>6</v>
      </c>
    </row>
    <row r="23" spans="1:34" ht="15" customHeight="1" x14ac:dyDescent="0.3">
      <c r="A23" s="60" t="s">
        <v>113</v>
      </c>
      <c r="B23" s="61">
        <f>SUM(B21:B22)</f>
        <v>91718</v>
      </c>
      <c r="C23" s="62">
        <f t="shared" ref="C23:AE23" si="30">SUM(C21:C22)</f>
        <v>22.379192</v>
      </c>
      <c r="D23" s="61">
        <f t="shared" si="30"/>
        <v>8156</v>
      </c>
      <c r="E23" s="62">
        <f t="shared" si="30"/>
        <v>3.0014080000000001</v>
      </c>
      <c r="F23" s="61">
        <f t="shared" si="30"/>
        <v>205529</v>
      </c>
      <c r="G23" s="61">
        <f t="shared" si="30"/>
        <v>2014184.2000000002</v>
      </c>
      <c r="H23" s="62">
        <f t="shared" si="30"/>
        <v>700.85388999999998</v>
      </c>
      <c r="I23" s="61">
        <f t="shared" si="30"/>
        <v>41371</v>
      </c>
      <c r="J23" s="61">
        <f t="shared" si="30"/>
        <v>347516.4</v>
      </c>
      <c r="K23" s="62">
        <f t="shared" si="30"/>
        <v>125.35413000000001</v>
      </c>
      <c r="L23" s="61">
        <f t="shared" si="30"/>
        <v>458</v>
      </c>
      <c r="M23" s="99">
        <f t="shared" si="30"/>
        <v>1.1083600000000001E-3</v>
      </c>
      <c r="N23" s="61">
        <f t="shared" si="30"/>
        <v>0</v>
      </c>
      <c r="O23" s="76">
        <f t="shared" si="30"/>
        <v>0</v>
      </c>
      <c r="P23" s="62">
        <f t="shared" si="30"/>
        <v>851.58972835999998</v>
      </c>
      <c r="Q23" s="61">
        <f t="shared" si="30"/>
        <v>131985</v>
      </c>
      <c r="R23" s="66" t="s">
        <v>93</v>
      </c>
      <c r="S23" s="61">
        <f t="shared" si="30"/>
        <v>421344</v>
      </c>
      <c r="T23" s="62">
        <f t="shared" si="30"/>
        <v>55.445475000000002</v>
      </c>
      <c r="U23" s="62">
        <f t="shared" si="30"/>
        <v>907.03520335999997</v>
      </c>
      <c r="V23" s="66"/>
      <c r="W23" s="61">
        <f t="shared" si="30"/>
        <v>11823</v>
      </c>
      <c r="X23" s="61">
        <f t="shared" si="30"/>
        <v>9702</v>
      </c>
      <c r="Y23" s="61">
        <f t="shared" si="30"/>
        <v>9449.2199999999993</v>
      </c>
      <c r="Z23" s="61">
        <f t="shared" si="30"/>
        <v>2362.3049999999998</v>
      </c>
      <c r="AA23" s="61">
        <f t="shared" si="30"/>
        <v>41.7</v>
      </c>
      <c r="AB23" s="61">
        <f t="shared" si="30"/>
        <v>9142</v>
      </c>
      <c r="AC23" s="61">
        <f t="shared" si="30"/>
        <v>2354</v>
      </c>
      <c r="AD23" s="61">
        <f t="shared" si="30"/>
        <v>21</v>
      </c>
      <c r="AE23" s="61">
        <f t="shared" si="30"/>
        <v>32</v>
      </c>
      <c r="AF23" s="61">
        <f>SUM(AF21:AF22)</f>
        <v>140</v>
      </c>
      <c r="AG23" s="61">
        <f>SUM(AG21:AG22)</f>
        <v>46</v>
      </c>
      <c r="AH23" s="61">
        <f>SUM(AH21:AH22)</f>
        <v>80</v>
      </c>
    </row>
    <row r="24" spans="1:34" ht="15" customHeight="1" x14ac:dyDescent="0.3">
      <c r="A24" s="60" t="s">
        <v>114</v>
      </c>
      <c r="B24" s="61">
        <v>416115</v>
      </c>
      <c r="C24" s="62">
        <f t="shared" si="15"/>
        <v>101.53206</v>
      </c>
      <c r="D24" s="61">
        <v>0</v>
      </c>
      <c r="E24" s="62">
        <f t="shared" si="18"/>
        <v>0</v>
      </c>
      <c r="F24" s="61">
        <f>124268+12827</f>
        <v>137095</v>
      </c>
      <c r="G24" s="61">
        <f t="shared" si="3"/>
        <v>1343531</v>
      </c>
      <c r="H24" s="62">
        <f t="shared" si="16"/>
        <v>467.49394999999998</v>
      </c>
      <c r="I24" s="61">
        <v>21957</v>
      </c>
      <c r="J24" s="61">
        <f>I24*8.4</f>
        <v>184438.80000000002</v>
      </c>
      <c r="K24" s="62">
        <f t="shared" si="17"/>
        <v>66.529710000000009</v>
      </c>
      <c r="L24" s="61">
        <v>418</v>
      </c>
      <c r="M24" s="99">
        <f t="shared" si="20"/>
        <v>1.0115600000000001E-3</v>
      </c>
      <c r="N24" s="61"/>
      <c r="O24" s="76">
        <f t="shared" si="11"/>
        <v>0</v>
      </c>
      <c r="P24" s="62">
        <f>C24+E24+H24+K24+M24+O24</f>
        <v>635.55673156000012</v>
      </c>
      <c r="Q24" s="61">
        <v>222516</v>
      </c>
      <c r="R24" s="66" t="s">
        <v>92</v>
      </c>
      <c r="S24" s="66">
        <v>0</v>
      </c>
      <c r="T24" s="62">
        <f t="shared" ref="T24" si="31">Q24*0.000435</f>
        <v>96.794460000000001</v>
      </c>
      <c r="U24" s="62">
        <f t="shared" si="9"/>
        <v>732.35119156000007</v>
      </c>
      <c r="V24" s="66" t="s">
        <v>120</v>
      </c>
      <c r="W24" s="61">
        <f>1996+18094</f>
        <v>20090</v>
      </c>
      <c r="X24" s="61">
        <v>24709</v>
      </c>
      <c r="Y24" s="61">
        <v>11791</v>
      </c>
      <c r="Z24" s="61">
        <v>2434</v>
      </c>
      <c r="AA24" s="94">
        <v>34</v>
      </c>
      <c r="AB24" s="61">
        <v>10993</v>
      </c>
      <c r="AC24" s="61">
        <v>2257</v>
      </c>
      <c r="AD24" s="61">
        <v>19</v>
      </c>
      <c r="AE24" s="61">
        <v>20</v>
      </c>
      <c r="AF24" s="61">
        <v>100</v>
      </c>
      <c r="AG24" s="61">
        <v>38</v>
      </c>
      <c r="AH24" s="61">
        <v>58</v>
      </c>
    </row>
    <row r="25" spans="1:34" s="22" customFormat="1" ht="15" customHeight="1" x14ac:dyDescent="0.3">
      <c r="A25" s="70" t="s">
        <v>112</v>
      </c>
      <c r="B25" s="71">
        <f t="shared" ref="B25:S25" si="32">B12+B20+B23+B24</f>
        <v>2804510</v>
      </c>
      <c r="C25" s="72">
        <f t="shared" si="32"/>
        <v>684.30043999999987</v>
      </c>
      <c r="D25" s="71">
        <f t="shared" si="32"/>
        <v>407156</v>
      </c>
      <c r="E25" s="72">
        <f t="shared" si="32"/>
        <v>149.83340799999999</v>
      </c>
      <c r="F25" s="71">
        <f t="shared" si="32"/>
        <v>1187643</v>
      </c>
      <c r="G25" s="71">
        <f t="shared" si="32"/>
        <v>11638901.400000002</v>
      </c>
      <c r="H25" s="75">
        <f t="shared" si="32"/>
        <v>4049.8626300000001</v>
      </c>
      <c r="I25" s="71">
        <f t="shared" si="32"/>
        <v>106510</v>
      </c>
      <c r="J25" s="71">
        <f t="shared" si="32"/>
        <v>894684.00000000012</v>
      </c>
      <c r="K25" s="72">
        <f t="shared" si="32"/>
        <v>322.72530000000006</v>
      </c>
      <c r="L25" s="71">
        <f t="shared" si="32"/>
        <v>7730</v>
      </c>
      <c r="M25" s="73">
        <f t="shared" si="32"/>
        <v>1.87066E-2</v>
      </c>
      <c r="N25" s="71">
        <f t="shared" si="32"/>
        <v>47726</v>
      </c>
      <c r="O25" s="77">
        <f t="shared" si="32"/>
        <v>2.3863000000000003</v>
      </c>
      <c r="P25" s="75">
        <f t="shared" si="32"/>
        <v>5209.1267846000001</v>
      </c>
      <c r="Q25" s="71">
        <f t="shared" si="32"/>
        <v>1944371</v>
      </c>
      <c r="R25" s="74"/>
      <c r="S25" s="71">
        <f t="shared" si="32"/>
        <v>1721708.8</v>
      </c>
      <c r="T25" s="75">
        <f>T12+T20+T23+T24</f>
        <v>588.25935772000003</v>
      </c>
      <c r="U25" s="75">
        <f>U12+U20+U23+U24</f>
        <v>5797.3861423199996</v>
      </c>
      <c r="V25" s="74"/>
      <c r="W25" s="71">
        <f t="shared" ref="W25:AH25" si="33">W12+W20+W23+W24</f>
        <v>141636</v>
      </c>
      <c r="X25" s="71">
        <f t="shared" si="33"/>
        <v>56964</v>
      </c>
      <c r="Y25" s="71">
        <f t="shared" si="33"/>
        <v>63522.22</v>
      </c>
      <c r="Z25" s="71">
        <f t="shared" si="33"/>
        <v>17826.504999999997</v>
      </c>
      <c r="AA25" s="71">
        <f t="shared" si="33"/>
        <v>264.73</v>
      </c>
      <c r="AB25" s="71">
        <f t="shared" si="33"/>
        <v>71284</v>
      </c>
      <c r="AC25" s="71">
        <f t="shared" si="33"/>
        <v>20537</v>
      </c>
      <c r="AD25" s="71">
        <f t="shared" si="33"/>
        <v>147</v>
      </c>
      <c r="AE25" s="71">
        <f t="shared" si="33"/>
        <v>203</v>
      </c>
      <c r="AF25" s="71">
        <f t="shared" si="33"/>
        <v>937</v>
      </c>
      <c r="AG25" s="71">
        <f t="shared" si="33"/>
        <v>340</v>
      </c>
      <c r="AH25" s="71">
        <f t="shared" si="33"/>
        <v>446</v>
      </c>
    </row>
    <row r="26" spans="1:34" ht="15" customHeight="1" x14ac:dyDescent="0.3">
      <c r="B26" s="23"/>
      <c r="C26" s="25"/>
      <c r="D26" s="23"/>
      <c r="E26" s="25"/>
      <c r="F26" s="23"/>
      <c r="G26" s="23"/>
      <c r="H26" s="25"/>
      <c r="I26" s="23"/>
      <c r="J26" s="23"/>
      <c r="K26" s="25"/>
      <c r="L26" s="25"/>
      <c r="M26" s="25"/>
      <c r="N26" s="23"/>
      <c r="O26" s="43"/>
      <c r="P26" s="40"/>
      <c r="Q26" s="23"/>
      <c r="R26" s="42"/>
      <c r="S26" s="42"/>
      <c r="T26" s="40"/>
      <c r="U26" s="40"/>
      <c r="V26" s="42"/>
      <c r="W26" s="23"/>
      <c r="X26" s="23"/>
      <c r="Y26" s="23"/>
      <c r="Z26" s="117"/>
      <c r="AA26" s="44"/>
      <c r="AB26" s="23"/>
      <c r="AC26" s="23"/>
      <c r="AD26" s="23"/>
      <c r="AE26" s="23"/>
      <c r="AF26" s="23"/>
      <c r="AG26" s="23"/>
      <c r="AH26" s="23"/>
    </row>
    <row r="27" spans="1:34" ht="15" customHeight="1" x14ac:dyDescent="0.3">
      <c r="B27" s="23"/>
      <c r="C27" s="25"/>
      <c r="D27" s="23"/>
      <c r="E27" s="25"/>
      <c r="F27" s="23"/>
      <c r="G27" s="23"/>
      <c r="H27" s="25"/>
      <c r="I27" s="23"/>
      <c r="J27" s="23"/>
      <c r="K27" s="25"/>
      <c r="L27" s="25"/>
      <c r="M27" s="25"/>
      <c r="N27" s="23"/>
      <c r="O27" s="43"/>
      <c r="P27" s="40"/>
      <c r="Q27" s="23"/>
      <c r="R27" s="42"/>
      <c r="S27" s="42"/>
      <c r="T27" s="40"/>
      <c r="U27" s="40"/>
      <c r="V27" s="42"/>
      <c r="W27" s="23"/>
      <c r="X27" s="23"/>
      <c r="Y27" s="23"/>
      <c r="Z27" s="116"/>
      <c r="AA27" s="44"/>
      <c r="AB27" s="23"/>
      <c r="AC27" s="23"/>
      <c r="AD27" s="23"/>
      <c r="AE27" s="23"/>
      <c r="AF27" s="23"/>
      <c r="AG27" s="23"/>
      <c r="AH27" s="23"/>
    </row>
    <row r="28" spans="1:34" ht="15" customHeight="1" x14ac:dyDescent="0.3">
      <c r="B28" s="23"/>
      <c r="C28" s="25"/>
      <c r="D28" s="23"/>
      <c r="E28" s="25"/>
      <c r="F28" s="23"/>
      <c r="G28" s="23"/>
      <c r="H28" s="25"/>
      <c r="I28" s="23"/>
      <c r="J28" s="23"/>
      <c r="K28" s="25"/>
      <c r="L28" s="25"/>
      <c r="M28" s="25"/>
      <c r="N28" s="23"/>
      <c r="O28" s="43"/>
      <c r="P28" s="40"/>
      <c r="Q28" s="23"/>
      <c r="R28" s="42"/>
      <c r="S28" s="42"/>
      <c r="T28" s="40"/>
      <c r="U28" s="40"/>
      <c r="V28" s="42"/>
      <c r="W28" s="23"/>
      <c r="X28" s="23"/>
      <c r="Y28" s="23"/>
      <c r="Z28" s="23"/>
      <c r="AA28" s="44"/>
      <c r="AB28" s="23"/>
      <c r="AC28" s="23"/>
      <c r="AD28" s="23"/>
      <c r="AE28" s="23"/>
      <c r="AF28" s="23"/>
      <c r="AG28" s="23"/>
      <c r="AH28" s="23"/>
    </row>
    <row r="29" spans="1:34" ht="15" customHeight="1" x14ac:dyDescent="0.3">
      <c r="B29" s="23"/>
      <c r="C29" s="25"/>
      <c r="D29" s="23"/>
      <c r="E29" s="25"/>
      <c r="F29" s="23"/>
      <c r="G29" s="23"/>
      <c r="H29" s="25"/>
      <c r="I29" s="23"/>
      <c r="J29" s="23"/>
      <c r="K29" s="25"/>
      <c r="L29" s="25"/>
      <c r="M29" s="25"/>
      <c r="N29" s="23"/>
      <c r="O29" s="43"/>
      <c r="P29" s="40"/>
      <c r="Q29" s="23"/>
      <c r="R29" s="42"/>
      <c r="S29" s="42"/>
      <c r="T29" s="40"/>
      <c r="U29" s="40"/>
      <c r="V29" s="42"/>
      <c r="W29" s="23"/>
      <c r="X29" s="23"/>
      <c r="Y29" s="23"/>
      <c r="Z29" s="23"/>
      <c r="AA29" s="44"/>
      <c r="AB29" s="23"/>
      <c r="AC29" s="23"/>
      <c r="AD29" s="23"/>
      <c r="AE29" s="23"/>
      <c r="AF29" s="23"/>
      <c r="AG29" s="23"/>
      <c r="AH29" s="23"/>
    </row>
    <row r="30" spans="1:34" ht="46.5" customHeight="1" x14ac:dyDescent="0.3">
      <c r="A30" s="100" t="s">
        <v>290</v>
      </c>
      <c r="B30" s="51" t="s">
        <v>32</v>
      </c>
      <c r="C30" s="55"/>
      <c r="D30" s="51" t="s">
        <v>124</v>
      </c>
      <c r="E30" s="25"/>
      <c r="F30" s="124" t="s">
        <v>305</v>
      </c>
      <c r="G30" s="124"/>
      <c r="H30" s="51" t="s">
        <v>124</v>
      </c>
      <c r="I30" s="23"/>
      <c r="J30" s="23"/>
      <c r="K30" s="23"/>
      <c r="L30" s="25"/>
      <c r="M30" s="25"/>
      <c r="N30" s="23"/>
      <c r="O30" s="102"/>
      <c r="P30" s="102"/>
      <c r="Q30" s="101" t="s">
        <v>291</v>
      </c>
      <c r="R30" s="42"/>
      <c r="S30" s="101" t="s">
        <v>292</v>
      </c>
      <c r="T30" s="40"/>
      <c r="U30" s="118" t="s">
        <v>307</v>
      </c>
      <c r="V30" s="118" t="s">
        <v>308</v>
      </c>
      <c r="W30" s="42" t="s">
        <v>309</v>
      </c>
      <c r="X30" s="119" t="s">
        <v>310</v>
      </c>
      <c r="Y30" s="23"/>
      <c r="Z30" s="23"/>
      <c r="AA30" s="44"/>
      <c r="AB30" s="23"/>
      <c r="AC30" s="23"/>
      <c r="AD30" s="23"/>
      <c r="AE30" s="23"/>
      <c r="AF30" s="23"/>
      <c r="AG30" s="23"/>
      <c r="AH30" s="23"/>
    </row>
    <row r="31" spans="1:34" ht="15" customHeight="1" x14ac:dyDescent="0.3">
      <c r="A31" s="53" t="s">
        <v>277</v>
      </c>
      <c r="B31" s="54">
        <f>B12+D12+G12+Q12+S12</f>
        <v>5814645</v>
      </c>
      <c r="C31" s="55"/>
      <c r="D31" s="54">
        <f>U12</f>
        <v>1737.8263584599999</v>
      </c>
      <c r="E31" s="25"/>
      <c r="F31" s="124" t="s">
        <v>306</v>
      </c>
      <c r="G31" s="124"/>
      <c r="H31" s="115">
        <f>200000/500</f>
        <v>400</v>
      </c>
      <c r="I31" s="23"/>
      <c r="J31" s="23"/>
      <c r="K31" s="25"/>
      <c r="L31" s="25"/>
      <c r="M31" s="25"/>
      <c r="N31" s="23"/>
      <c r="O31" s="43"/>
      <c r="P31" s="40"/>
      <c r="Q31" s="23">
        <f>Q12</f>
        <v>912452</v>
      </c>
      <c r="R31" s="42"/>
      <c r="S31" s="42">
        <f>S12</f>
        <v>445364.8</v>
      </c>
      <c r="T31" s="40"/>
      <c r="U31" s="121">
        <f>4.25+8.91+8.91+5.02</f>
        <v>27.09</v>
      </c>
      <c r="V31" s="120"/>
      <c r="W31" s="44">
        <f>7.47+13.18+13.18</f>
        <v>33.83</v>
      </c>
      <c r="X31" s="44">
        <f>5.11+5.11</f>
        <v>10.220000000000001</v>
      </c>
      <c r="Y31" s="23"/>
      <c r="Z31" s="116"/>
      <c r="AA31" s="44"/>
      <c r="AB31" s="23"/>
      <c r="AC31" s="23"/>
      <c r="AD31" s="23"/>
      <c r="AE31" s="23"/>
      <c r="AF31" s="23"/>
      <c r="AG31" s="23"/>
      <c r="AH31" s="23"/>
    </row>
    <row r="32" spans="1:34" ht="15" customHeight="1" x14ac:dyDescent="0.3">
      <c r="A32" s="53" t="s">
        <v>278</v>
      </c>
      <c r="B32" s="54">
        <f>B20+D20+G20+Q20+S20</f>
        <v>8052453.0000000009</v>
      </c>
      <c r="C32" s="55"/>
      <c r="D32" s="54">
        <f>U20</f>
        <v>2420.1733889399998</v>
      </c>
      <c r="E32" s="25"/>
      <c r="F32" s="124"/>
      <c r="G32" s="124"/>
      <c r="H32" s="25"/>
      <c r="I32" s="23"/>
      <c r="J32" s="23"/>
      <c r="K32" s="25"/>
      <c r="L32" s="25"/>
      <c r="M32" s="25"/>
      <c r="N32" s="23"/>
      <c r="O32" s="43"/>
      <c r="P32" s="40"/>
      <c r="Q32" s="23">
        <f>0.5*(Q13+Q14+Q15+Q16+Q19)+Q18</f>
        <v>384006.5</v>
      </c>
      <c r="R32" s="42"/>
      <c r="S32" s="42">
        <f>S20</f>
        <v>855000</v>
      </c>
      <c r="T32" s="40"/>
      <c r="U32" s="121">
        <f>2.2+1.04+7.74+34.61+15.97</f>
        <v>61.56</v>
      </c>
      <c r="V32" s="120"/>
      <c r="W32" s="44">
        <f>3.7+3.9+6+16.29+20.56</f>
        <v>50.45</v>
      </c>
      <c r="X32" s="44">
        <f>9.3+1.15+7.81</f>
        <v>18.260000000000002</v>
      </c>
      <c r="Y32" s="23"/>
      <c r="Z32" s="116"/>
      <c r="AA32" s="44"/>
      <c r="AB32" s="23"/>
      <c r="AC32" s="23"/>
      <c r="AD32" s="23"/>
      <c r="AE32" s="23"/>
      <c r="AF32" s="23"/>
      <c r="AG32" s="23"/>
      <c r="AH32" s="23"/>
    </row>
    <row r="33" spans="1:34" ht="15" customHeight="1" x14ac:dyDescent="0.3">
      <c r="A33" s="53" t="s">
        <v>279</v>
      </c>
      <c r="B33" s="54">
        <f>B23+D23+G23+Q23+S23</f>
        <v>2667387.2000000002</v>
      </c>
      <c r="C33" s="55"/>
      <c r="D33" s="54">
        <f>U23</f>
        <v>907.03520335999997</v>
      </c>
      <c r="E33" s="25"/>
      <c r="F33" s="124"/>
      <c r="G33" s="124"/>
      <c r="H33" s="25"/>
      <c r="I33" s="23"/>
      <c r="J33" s="23"/>
      <c r="K33" s="25"/>
      <c r="L33" s="25"/>
      <c r="M33" s="25"/>
      <c r="N33" s="23"/>
      <c r="O33" s="43"/>
      <c r="P33" s="40"/>
      <c r="Q33" s="23">
        <f>Q23*0.5</f>
        <v>65992.5</v>
      </c>
      <c r="R33" s="42"/>
      <c r="S33" s="42">
        <f>S23</f>
        <v>421344</v>
      </c>
      <c r="T33" s="40"/>
      <c r="U33" s="121">
        <v>49</v>
      </c>
      <c r="V33" s="120"/>
      <c r="W33" s="44">
        <v>25</v>
      </c>
      <c r="X33" s="44">
        <v>0</v>
      </c>
      <c r="Y33" s="23"/>
      <c r="Z33" s="116"/>
      <c r="AA33" s="44"/>
      <c r="AB33" s="23"/>
      <c r="AC33" s="23"/>
      <c r="AD33" s="23"/>
      <c r="AE33" s="23"/>
      <c r="AF33" s="23"/>
      <c r="AG33" s="23"/>
      <c r="AH33" s="23"/>
    </row>
    <row r="34" spans="1:34" ht="15" customHeight="1" x14ac:dyDescent="0.3">
      <c r="A34" s="53" t="s">
        <v>12</v>
      </c>
      <c r="B34" s="54">
        <f>B24+D24+G24+Q24+S24</f>
        <v>1982162</v>
      </c>
      <c r="C34" s="55"/>
      <c r="D34" s="54">
        <f>U24</f>
        <v>732.35119156000007</v>
      </c>
      <c r="E34" s="25"/>
      <c r="F34" s="124"/>
      <c r="G34" s="124"/>
      <c r="H34" s="25"/>
      <c r="I34" s="23"/>
      <c r="J34" s="23"/>
      <c r="K34" s="25"/>
      <c r="L34" s="25"/>
      <c r="M34" s="25"/>
      <c r="N34" s="23"/>
      <c r="O34" s="43"/>
      <c r="P34" s="40"/>
      <c r="Q34" s="23">
        <f>Q24</f>
        <v>222516</v>
      </c>
      <c r="R34" s="42"/>
      <c r="S34" s="42">
        <f>S24</f>
        <v>0</v>
      </c>
      <c r="T34" s="40"/>
      <c r="U34" s="121">
        <v>49</v>
      </c>
      <c r="V34" s="120"/>
      <c r="W34" s="44">
        <v>25</v>
      </c>
      <c r="X34" s="44">
        <v>0</v>
      </c>
      <c r="Y34" s="23"/>
      <c r="Z34" s="116"/>
      <c r="AA34" s="44"/>
      <c r="AB34" s="23"/>
      <c r="AC34" s="23"/>
      <c r="AD34" s="23"/>
      <c r="AE34" s="23"/>
      <c r="AF34" s="23"/>
      <c r="AG34" s="23"/>
      <c r="AH34" s="23"/>
    </row>
    <row r="35" spans="1:34" ht="15" customHeight="1" x14ac:dyDescent="0.3">
      <c r="A35" s="53" t="s">
        <v>112</v>
      </c>
      <c r="B35" s="54">
        <f>SUM(B31:B34)</f>
        <v>18516647.199999999</v>
      </c>
      <c r="C35" s="55"/>
      <c r="D35" s="54">
        <f>SUM(D31:D34)</f>
        <v>5797.3861423199996</v>
      </c>
      <c r="E35" s="25"/>
      <c r="F35" s="124"/>
      <c r="G35" s="124"/>
      <c r="H35" s="25"/>
      <c r="I35" s="23"/>
      <c r="J35" s="23"/>
      <c r="K35" s="25"/>
      <c r="L35" s="25"/>
      <c r="M35" s="25"/>
      <c r="N35" s="23"/>
      <c r="O35" s="43"/>
      <c r="P35" s="40"/>
      <c r="Q35" s="23">
        <f>SUM(Q31:Q34)</f>
        <v>1584967</v>
      </c>
      <c r="R35" s="42"/>
      <c r="S35" s="23">
        <f>SUM(S31:S34)</f>
        <v>1721708.8</v>
      </c>
      <c r="T35" s="40"/>
      <c r="U35" s="120">
        <f>SUM(U31:U34)</f>
        <v>186.65</v>
      </c>
      <c r="V35" s="120"/>
      <c r="W35" s="44">
        <f>SUM(W31:W34)</f>
        <v>134.28</v>
      </c>
      <c r="X35" s="44">
        <f>SUM(X31:X34)</f>
        <v>28.480000000000004</v>
      </c>
      <c r="Y35" s="23"/>
      <c r="Z35" s="116"/>
      <c r="AA35" s="44"/>
      <c r="AB35" s="23"/>
      <c r="AC35" s="23"/>
      <c r="AD35" s="23"/>
      <c r="AE35" s="23"/>
      <c r="AF35" s="23"/>
      <c r="AG35" s="23"/>
      <c r="AH35" s="23"/>
    </row>
    <row r="36" spans="1:34" ht="15" customHeight="1" x14ac:dyDescent="0.3">
      <c r="B36" s="23"/>
      <c r="C36" s="25"/>
      <c r="D36" s="23"/>
      <c r="E36" s="25"/>
      <c r="F36" s="23"/>
      <c r="G36" s="23"/>
      <c r="H36" s="25"/>
      <c r="I36" s="23"/>
      <c r="J36" s="23"/>
      <c r="K36" s="25"/>
      <c r="L36" s="25"/>
      <c r="M36" s="25"/>
      <c r="N36" s="23"/>
      <c r="O36" s="43"/>
      <c r="P36" s="40"/>
      <c r="Q36" s="23"/>
      <c r="R36" s="42"/>
      <c r="S36" s="42"/>
      <c r="T36" s="40"/>
      <c r="U36" s="40"/>
      <c r="V36" s="42"/>
      <c r="W36" s="23"/>
      <c r="X36" s="23"/>
      <c r="Y36" s="23"/>
      <c r="Z36" s="23"/>
      <c r="AA36" s="44"/>
      <c r="AB36" s="23"/>
      <c r="AC36" s="23"/>
      <c r="AD36" s="23"/>
      <c r="AE36" s="23"/>
      <c r="AF36" s="23"/>
      <c r="AG36" s="23"/>
      <c r="AH36" s="23"/>
    </row>
    <row r="37" spans="1:34" ht="15" customHeight="1" x14ac:dyDescent="0.3">
      <c r="B37" s="23"/>
      <c r="C37" s="25"/>
      <c r="D37" s="23"/>
      <c r="E37" s="25"/>
      <c r="F37" s="23"/>
      <c r="G37" s="23"/>
      <c r="H37" s="25"/>
      <c r="I37" s="23"/>
      <c r="J37" s="23"/>
      <c r="K37" s="25"/>
      <c r="L37" s="25"/>
      <c r="M37" s="25"/>
      <c r="N37" s="23"/>
      <c r="O37" s="43"/>
      <c r="P37" s="40"/>
      <c r="Q37" s="23"/>
      <c r="R37" s="42"/>
      <c r="S37" s="42"/>
      <c r="T37" s="40"/>
      <c r="U37" s="40"/>
      <c r="V37" s="42"/>
      <c r="W37" s="23"/>
      <c r="X37" s="23"/>
      <c r="Y37" s="23"/>
      <c r="Z37" s="23"/>
      <c r="AA37" s="44"/>
      <c r="AB37" s="23"/>
      <c r="AC37" s="23"/>
      <c r="AD37" s="23"/>
      <c r="AE37" s="23"/>
      <c r="AF37" s="23"/>
      <c r="AG37" s="23"/>
      <c r="AH37" s="23"/>
    </row>
    <row r="38" spans="1:34" ht="15" customHeight="1" x14ac:dyDescent="0.3">
      <c r="B38" s="23"/>
      <c r="C38" s="25"/>
      <c r="D38" s="23"/>
      <c r="E38" s="25"/>
      <c r="F38" s="23"/>
      <c r="G38" s="23"/>
      <c r="H38" s="25"/>
      <c r="I38" s="23"/>
      <c r="J38" s="23"/>
      <c r="K38" s="25"/>
      <c r="L38" s="25"/>
      <c r="M38" s="25"/>
      <c r="N38" s="23"/>
      <c r="O38" s="43"/>
      <c r="P38" s="40"/>
      <c r="Q38" s="23"/>
      <c r="R38" s="42"/>
      <c r="S38" s="42"/>
      <c r="T38" s="40"/>
      <c r="U38" s="40"/>
      <c r="V38" s="42"/>
      <c r="W38" s="23"/>
      <c r="X38" s="23"/>
      <c r="Y38" s="23"/>
      <c r="Z38" s="23"/>
      <c r="AA38" s="44"/>
      <c r="AB38" s="23"/>
      <c r="AC38" s="23"/>
      <c r="AD38" s="23"/>
      <c r="AE38" s="23"/>
      <c r="AF38" s="23"/>
      <c r="AG38" s="23"/>
      <c r="AH38" s="23"/>
    </row>
    <row r="39" spans="1:34" ht="15" customHeight="1" x14ac:dyDescent="0.3">
      <c r="B39" s="23"/>
      <c r="C39" s="25"/>
      <c r="D39" s="23"/>
      <c r="E39" s="25"/>
      <c r="F39" s="23"/>
      <c r="G39" s="23"/>
      <c r="H39" s="25"/>
      <c r="I39" s="23"/>
      <c r="J39" s="23"/>
      <c r="K39" s="25"/>
      <c r="L39" s="25"/>
      <c r="M39" s="25"/>
      <c r="N39" s="23"/>
      <c r="O39" s="43"/>
      <c r="P39" s="40"/>
      <c r="Q39" s="23"/>
      <c r="R39" s="42"/>
      <c r="S39" s="42"/>
      <c r="T39" s="40"/>
      <c r="U39" s="40"/>
      <c r="V39" s="42"/>
      <c r="W39" s="23"/>
      <c r="X39" s="23"/>
      <c r="Y39" s="23"/>
      <c r="Z39" s="23"/>
      <c r="AB39" s="23"/>
      <c r="AC39" s="23"/>
      <c r="AD39" s="23"/>
      <c r="AE39" s="23"/>
      <c r="AF39" s="23"/>
      <c r="AG39" s="23"/>
      <c r="AH39" s="23"/>
    </row>
    <row r="40" spans="1:34" ht="15" customHeight="1" x14ac:dyDescent="0.3">
      <c r="B40" s="23"/>
      <c r="C40" s="25"/>
      <c r="D40" s="23"/>
      <c r="E40" s="25"/>
      <c r="F40" s="23"/>
      <c r="G40" s="23"/>
      <c r="H40" s="25"/>
      <c r="I40" s="23"/>
      <c r="J40" s="23"/>
      <c r="K40" s="25"/>
      <c r="L40" s="25"/>
      <c r="M40" s="25"/>
      <c r="N40" s="23"/>
      <c r="O40" s="25"/>
      <c r="P40" s="40"/>
      <c r="Q40" s="122"/>
      <c r="R40" s="23"/>
      <c r="S40" s="23"/>
      <c r="T40" s="40"/>
      <c r="U40" s="40"/>
      <c r="V40" s="42"/>
      <c r="W40" s="23"/>
      <c r="X40" s="23"/>
      <c r="Y40" s="23"/>
      <c r="Z40" s="23"/>
    </row>
    <row r="41" spans="1:34" ht="15" customHeight="1" x14ac:dyDescent="0.3">
      <c r="B41" s="23"/>
      <c r="C41" s="25"/>
      <c r="D41" s="23"/>
      <c r="E41" s="25"/>
      <c r="F41" s="23"/>
      <c r="G41" s="23"/>
      <c r="H41" s="25"/>
      <c r="I41" s="23"/>
      <c r="J41" s="23"/>
      <c r="K41" s="25"/>
      <c r="L41" s="25"/>
      <c r="M41" s="25"/>
      <c r="N41" s="23"/>
      <c r="O41" s="25"/>
      <c r="P41" s="40"/>
      <c r="Q41" s="122"/>
      <c r="R41" s="23"/>
      <c r="S41" s="23"/>
      <c r="T41" s="40"/>
      <c r="U41" s="40"/>
      <c r="V41" s="42"/>
      <c r="W41" s="23"/>
      <c r="X41" s="23"/>
      <c r="Y41" s="23"/>
      <c r="Z41" s="23"/>
    </row>
    <row r="42" spans="1:34" ht="15" customHeight="1" x14ac:dyDescent="0.3">
      <c r="B42" s="23"/>
      <c r="C42" s="25"/>
      <c r="D42" s="23"/>
      <c r="E42" s="25"/>
      <c r="F42" s="23"/>
      <c r="G42" s="23"/>
      <c r="H42" s="25"/>
      <c r="I42" s="23"/>
      <c r="J42" s="23"/>
      <c r="K42" s="25"/>
      <c r="L42" s="25"/>
      <c r="M42" s="25"/>
      <c r="N42" s="23"/>
      <c r="O42" s="25"/>
      <c r="P42" s="40"/>
      <c r="Q42" s="122"/>
      <c r="R42" s="23"/>
      <c r="S42" s="23"/>
      <c r="T42" s="40"/>
      <c r="U42" s="40"/>
      <c r="V42" s="42"/>
      <c r="W42" s="23"/>
      <c r="X42" s="23"/>
      <c r="Y42" s="23"/>
      <c r="Z42" s="23"/>
    </row>
    <row r="43" spans="1:34" ht="15" customHeight="1" x14ac:dyDescent="0.3">
      <c r="B43" s="23"/>
      <c r="C43" s="25"/>
      <c r="D43" s="23"/>
      <c r="E43" s="25"/>
      <c r="F43" s="23"/>
      <c r="G43" s="23"/>
      <c r="H43" s="25"/>
      <c r="I43" s="23"/>
      <c r="J43" s="23"/>
      <c r="K43" s="25"/>
      <c r="L43" s="25"/>
      <c r="M43" s="25"/>
      <c r="N43" s="23"/>
      <c r="O43" s="25"/>
      <c r="P43" s="40"/>
      <c r="Q43" s="23"/>
      <c r="R43" s="23"/>
      <c r="S43" s="23"/>
      <c r="T43" s="40"/>
      <c r="U43" s="40"/>
      <c r="V43" s="42"/>
      <c r="W43" s="23"/>
      <c r="X43" s="23"/>
      <c r="Y43" s="23"/>
      <c r="Z43" s="23"/>
    </row>
    <row r="44" spans="1:34" ht="15" customHeight="1" x14ac:dyDescent="0.3">
      <c r="B44" s="23"/>
      <c r="C44" s="25"/>
      <c r="D44" s="23"/>
      <c r="E44" s="25"/>
      <c r="F44" s="23"/>
      <c r="G44" s="23"/>
      <c r="H44" s="25"/>
      <c r="I44" s="23"/>
      <c r="J44" s="23"/>
      <c r="K44" s="25"/>
      <c r="L44" s="25"/>
      <c r="M44" s="25"/>
      <c r="N44" s="23"/>
      <c r="O44" s="25"/>
      <c r="P44" s="40"/>
      <c r="Q44" s="23"/>
      <c r="R44" s="23"/>
      <c r="S44" s="23"/>
      <c r="T44" s="40"/>
      <c r="U44" s="40"/>
      <c r="V44" s="42"/>
      <c r="W44" s="23"/>
      <c r="X44" s="23"/>
      <c r="Y44" s="23"/>
      <c r="Z44" s="23"/>
    </row>
    <row r="45" spans="1:34" ht="15" customHeight="1" x14ac:dyDescent="0.3">
      <c r="B45" s="23"/>
      <c r="C45" s="25"/>
      <c r="D45" s="23"/>
      <c r="E45" s="25"/>
      <c r="F45" s="23"/>
      <c r="G45" s="23"/>
      <c r="H45" s="25"/>
      <c r="I45" s="23"/>
      <c r="J45" s="23"/>
      <c r="K45" s="25"/>
      <c r="L45" s="25"/>
      <c r="M45" s="25"/>
      <c r="N45" s="23"/>
      <c r="O45" s="25"/>
      <c r="P45" s="40"/>
      <c r="Q45" s="23"/>
      <c r="R45" s="23"/>
      <c r="S45" s="23"/>
      <c r="T45" s="40"/>
      <c r="U45" s="40"/>
      <c r="V45" s="42"/>
      <c r="W45" s="23"/>
      <c r="X45" s="23"/>
      <c r="Y45" s="23"/>
      <c r="Z45" s="23"/>
    </row>
    <row r="46" spans="1:34" ht="15" customHeight="1" x14ac:dyDescent="0.3">
      <c r="B46" s="23"/>
      <c r="C46" s="25"/>
      <c r="D46" s="23"/>
      <c r="E46" s="25"/>
      <c r="F46" s="23"/>
      <c r="G46" s="23"/>
      <c r="H46" s="25"/>
      <c r="I46" s="23"/>
      <c r="J46" s="23"/>
      <c r="K46" s="25"/>
      <c r="L46" s="25"/>
      <c r="M46" s="25"/>
      <c r="N46" s="23"/>
      <c r="O46" s="25"/>
      <c r="P46" s="40"/>
      <c r="Q46" s="23"/>
      <c r="R46" s="23"/>
      <c r="S46" s="23"/>
      <c r="T46" s="40"/>
      <c r="U46" s="40"/>
      <c r="V46" s="42"/>
      <c r="W46" s="23"/>
      <c r="X46" s="23"/>
      <c r="Y46" s="23"/>
      <c r="Z46" s="23"/>
    </row>
    <row r="47" spans="1:34" ht="15" customHeight="1" x14ac:dyDescent="0.3">
      <c r="C47" s="39"/>
      <c r="E47" s="39"/>
      <c r="H47" s="39"/>
      <c r="K47" s="39"/>
      <c r="L47" s="39"/>
      <c r="M47" s="39"/>
      <c r="O47" s="39"/>
      <c r="P47" s="41"/>
      <c r="T47" s="41"/>
      <c r="U47" s="41"/>
    </row>
    <row r="48" spans="1:34" ht="15" customHeight="1" x14ac:dyDescent="0.3">
      <c r="C48" s="39"/>
      <c r="E48" s="39"/>
      <c r="O48" s="25"/>
      <c r="P48" s="40"/>
      <c r="U48" s="40"/>
    </row>
  </sheetData>
  <mergeCells count="17">
    <mergeCell ref="Y7:Y8"/>
    <mergeCell ref="Z7:Z8"/>
    <mergeCell ref="AA7:AA8"/>
    <mergeCell ref="B1:O1"/>
    <mergeCell ref="Q1:T1"/>
    <mergeCell ref="B2:C2"/>
    <mergeCell ref="F2:H2"/>
    <mergeCell ref="I2:K2"/>
    <mergeCell ref="N2:O2"/>
    <mergeCell ref="D2:E2"/>
    <mergeCell ref="L2:M2"/>
    <mergeCell ref="F35:G35"/>
    <mergeCell ref="F30:G30"/>
    <mergeCell ref="F31:G31"/>
    <mergeCell ref="F32:G32"/>
    <mergeCell ref="F33:G33"/>
    <mergeCell ref="F34:G3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DA87-54DA-4898-948B-CED5BD9155BA}">
  <dimension ref="A1:F29"/>
  <sheetViews>
    <sheetView workbookViewId="0">
      <selection activeCell="F12" sqref="F12"/>
    </sheetView>
  </sheetViews>
  <sheetFormatPr baseColWidth="10" defaultColWidth="15.6640625" defaultRowHeight="19.95" customHeight="1" x14ac:dyDescent="0.3"/>
  <cols>
    <col min="1" max="1" width="50" style="79" customWidth="1"/>
    <col min="2" max="6" width="15.6640625" style="78"/>
    <col min="7" max="16384" width="15.6640625" style="79"/>
  </cols>
  <sheetData>
    <row r="1" spans="1:6" s="78" customFormat="1" ht="22.5" customHeight="1" x14ac:dyDescent="0.3">
      <c r="A1" s="104" t="s">
        <v>123</v>
      </c>
      <c r="B1" s="104" t="s">
        <v>125</v>
      </c>
      <c r="C1" s="104" t="s">
        <v>126</v>
      </c>
      <c r="D1" s="104" t="s">
        <v>7</v>
      </c>
      <c r="E1" s="104" t="s">
        <v>12</v>
      </c>
      <c r="F1" s="104" t="s">
        <v>112</v>
      </c>
    </row>
    <row r="2" spans="1:6" s="78" customFormat="1" ht="22.5" customHeight="1" x14ac:dyDescent="0.3">
      <c r="A2" s="105" t="s">
        <v>283</v>
      </c>
      <c r="B2" s="106">
        <f>Daten2023!AA12*1000000/Daten2023!AF12</f>
        <v>245876.62337662338</v>
      </c>
      <c r="C2" s="106">
        <f>Daten2023!AA20*1000000/Daten2023!AF20</f>
        <v>291259.64010282775</v>
      </c>
      <c r="D2" s="106">
        <f>Daten2023!AA23*1000000/Daten2023!AF23</f>
        <v>297857.14285714284</v>
      </c>
      <c r="E2" s="106">
        <f>Daten2023!AA24*1000000/Daten2023!AF24</f>
        <v>340000</v>
      </c>
      <c r="F2" s="106">
        <f>Daten2023!AA25*1000000/Daten2023!AF25</f>
        <v>282529.34898612596</v>
      </c>
    </row>
    <row r="3" spans="1:6" s="78" customFormat="1" ht="22.5" customHeight="1" x14ac:dyDescent="0.3">
      <c r="A3" s="105" t="s">
        <v>304</v>
      </c>
      <c r="B3" s="114">
        <f>Daten2023!AA12*1000/Daten2023!Y12</f>
        <v>4.2076897433048117</v>
      </c>
      <c r="C3" s="114">
        <f>Daten2023!AA20*1000/Daten2023!Y20</f>
        <v>4.6656234557733489</v>
      </c>
      <c r="D3" s="114">
        <f>Daten2023!AA23*1000/Daten2023!Y23</f>
        <v>4.4130626654898499</v>
      </c>
      <c r="E3" s="114">
        <f>Daten2023!AA24*1000/Daten2023!Y24</f>
        <v>2.8835552540072937</v>
      </c>
      <c r="F3" s="114">
        <f>Daten2023!AA25*1000/Daten2023!Y25</f>
        <v>4.1675180747776128</v>
      </c>
    </row>
    <row r="4" spans="1:6" s="78" customFormat="1" ht="22.5" customHeight="1" x14ac:dyDescent="0.3">
      <c r="A4" s="105" t="s">
        <v>281</v>
      </c>
      <c r="B4" s="106">
        <f>Daten2023!B31</f>
        <v>5814645</v>
      </c>
      <c r="C4" s="106">
        <f>Daten2023!B32</f>
        <v>8052453.0000000009</v>
      </c>
      <c r="D4" s="106">
        <f>Daten2023!B33</f>
        <v>2667387.2000000002</v>
      </c>
      <c r="E4" s="106">
        <f>Daten2023!B34</f>
        <v>1982162</v>
      </c>
      <c r="F4" s="106">
        <f>Daten2023!B35</f>
        <v>18516647.199999999</v>
      </c>
    </row>
    <row r="5" spans="1:6" s="78" customFormat="1" ht="22.5" customHeight="1" x14ac:dyDescent="0.3">
      <c r="A5" s="105" t="s">
        <v>284</v>
      </c>
      <c r="B5" s="107">
        <f>(Daten2023!Q31+Daten2023!S31)/Daten2023!B31</f>
        <v>0.23351671512190342</v>
      </c>
      <c r="C5" s="107">
        <f>(Daten2023!Q32+Daten2023!S32)/Daten2023!B32</f>
        <v>0.15386696451379472</v>
      </c>
      <c r="D5" s="107">
        <f>(Daten2023!Q33+Daten2023!S33)/Daten2023!B33</f>
        <v>0.18270182146783936</v>
      </c>
      <c r="E5" s="107">
        <f>(Daten2023!Q34+Daten2023!S34)/Daten2023!B34</f>
        <v>0.11225924016301392</v>
      </c>
      <c r="F5" s="107">
        <f>(Daten2023!Q35+Daten2023!S35)/Daten2023!B35</f>
        <v>0.17857853877563754</v>
      </c>
    </row>
    <row r="6" spans="1:6" s="78" customFormat="1" ht="22.5" customHeight="1" x14ac:dyDescent="0.3">
      <c r="A6" s="105" t="s">
        <v>285</v>
      </c>
      <c r="B6" s="107">
        <f>Daten2023!S31/Daten2023!B31</f>
        <v>7.659363555298733E-2</v>
      </c>
      <c r="C6" s="107">
        <f>Daten2023!S32/Daten2023!B32</f>
        <v>0.10617882525983074</v>
      </c>
      <c r="D6" s="107">
        <f>Daten2023!S33/Daten2023!B33</f>
        <v>0.15796131885164627</v>
      </c>
      <c r="E6" s="107">
        <f>Daten2023!S34/Daten2023!B34</f>
        <v>0</v>
      </c>
      <c r="F6" s="107">
        <f>Daten2023!S35/Daten2023!B35</f>
        <v>9.2981671109443623E-2</v>
      </c>
    </row>
    <row r="7" spans="1:6" s="78" customFormat="1" ht="22.5" customHeight="1" x14ac:dyDescent="0.3">
      <c r="A7" s="105" t="s">
        <v>301</v>
      </c>
      <c r="B7" s="108">
        <f>Daten2023!B31/(Daten2023!AA12*1000)</f>
        <v>76.781262379506146</v>
      </c>
      <c r="C7" s="108">
        <f>Daten2023!B32/(Daten2023!AA20*1000)</f>
        <v>71.071959399823484</v>
      </c>
      <c r="D7" s="108">
        <f>Daten2023!B33/(Daten2023!AA23*1000)</f>
        <v>63.966119904076741</v>
      </c>
      <c r="E7" s="108">
        <f>Daten2023!B34/(Daten2023!AA24*1000)</f>
        <v>58.298882352941177</v>
      </c>
      <c r="F7" s="108">
        <f>Daten2023!B35/(Daten2023!AA25*1000)</f>
        <v>69.945405507498208</v>
      </c>
    </row>
    <row r="8" spans="1:6" s="78" customFormat="1" ht="22.5" customHeight="1" x14ac:dyDescent="0.3">
      <c r="A8" s="105" t="s">
        <v>282</v>
      </c>
      <c r="B8" s="108">
        <f>Daten2023!B31/(Daten2023!AB12+Daten2023!AC12)</f>
        <v>195.38457661290323</v>
      </c>
      <c r="C8" s="108">
        <f>Daten2023!B32/(Daten2023!AB20+Daten2023!AC20)</f>
        <v>215.79667693956856</v>
      </c>
      <c r="D8" s="108">
        <f>Daten2023!B33/(Daten2023!AB23+Daten2023!AC23)</f>
        <v>232.02741823242869</v>
      </c>
      <c r="E8" s="108">
        <f>Daten2023!B34/(Daten2023!AB24+Daten2023!AC24)</f>
        <v>149.59713207547171</v>
      </c>
      <c r="F8" s="108">
        <f>Daten2023!B35/(Daten2023!AB25+Daten2023!AC25)</f>
        <v>201.66026508097275</v>
      </c>
    </row>
    <row r="9" spans="1:6" s="78" customFormat="1" ht="22.5" customHeight="1" x14ac:dyDescent="0.3">
      <c r="A9" s="105" t="s">
        <v>293</v>
      </c>
      <c r="B9" s="106">
        <f>Daten2023!B31/Daten2023!AF12</f>
        <v>18878.717532467534</v>
      </c>
      <c r="C9" s="106">
        <f>Daten2023!B32/Daten2023!AF20</f>
        <v>20700.393316195376</v>
      </c>
      <c r="D9" s="106">
        <f>Daten2023!B33/Daten2023!AF23</f>
        <v>19052.765714285717</v>
      </c>
      <c r="E9" s="106">
        <f>Daten2023!B34/Daten2023!AF24</f>
        <v>19821.62</v>
      </c>
      <c r="F9" s="106">
        <f>Daten2023!B35/Daten2023!AF25</f>
        <v>19761.629882604055</v>
      </c>
    </row>
    <row r="10" spans="1:6" s="78" customFormat="1" ht="22.5" customHeight="1" x14ac:dyDescent="0.3">
      <c r="A10" s="105" t="s">
        <v>294</v>
      </c>
      <c r="B10" s="106">
        <f>Daten2023!U12</f>
        <v>1737.8263584599999</v>
      </c>
      <c r="C10" s="106">
        <f>Daten2023!U20</f>
        <v>2420.1733889399998</v>
      </c>
      <c r="D10" s="106">
        <f>Daten2023!U23</f>
        <v>907.03520335999997</v>
      </c>
      <c r="E10" s="106">
        <f>Daten2023!U24</f>
        <v>732.35119156000007</v>
      </c>
      <c r="F10" s="106">
        <f>Daten2023!U25</f>
        <v>5797.3861423199996</v>
      </c>
    </row>
    <row r="11" spans="1:6" s="78" customFormat="1" ht="22.5" customHeight="1" x14ac:dyDescent="0.3">
      <c r="A11" s="105" t="s">
        <v>295</v>
      </c>
      <c r="B11" s="109">
        <f>(B10*1000)/B4</f>
        <v>0.29887058598762262</v>
      </c>
      <c r="C11" s="109">
        <f t="shared" ref="C11:F11" si="0">(C10*1000)/C4</f>
        <v>0.30055107293889199</v>
      </c>
      <c r="D11" s="109">
        <f t="shared" si="0"/>
        <v>0.34004632074413488</v>
      </c>
      <c r="E11" s="109">
        <f t="shared" si="0"/>
        <v>0.36947090679772898</v>
      </c>
      <c r="F11" s="109">
        <f t="shared" si="0"/>
        <v>0.31309048985498844</v>
      </c>
    </row>
    <row r="12" spans="1:6" s="78" customFormat="1" ht="22.5" customHeight="1" x14ac:dyDescent="0.3">
      <c r="A12" s="105" t="s">
        <v>302</v>
      </c>
      <c r="B12" s="110">
        <f>B10/Daten2023!AA12</f>
        <v>22.947660880232402</v>
      </c>
      <c r="C12" s="110">
        <f>C10/Daten2023!AA20</f>
        <v>21.360753653486316</v>
      </c>
      <c r="D12" s="110">
        <f>D10/Daten2023!AA23</f>
        <v>21.75144372565947</v>
      </c>
      <c r="E12" s="110">
        <f>E10/Daten2023!AA24</f>
        <v>21.539740928235297</v>
      </c>
      <c r="F12" s="110">
        <f>F10/Daten2023!AA25</f>
        <v>21.899241273448418</v>
      </c>
    </row>
    <row r="13" spans="1:6" s="78" customFormat="1" ht="22.5" customHeight="1" x14ac:dyDescent="0.3">
      <c r="A13" s="105" t="s">
        <v>296</v>
      </c>
      <c r="B13" s="111">
        <f>(B10*1000)/(Daten2023!AB12+Daten2023!AC12)</f>
        <v>58.394702905241935</v>
      </c>
      <c r="C13" s="111">
        <f>(C10*1000)/(Daten2023!AB20+Daten2023!AC20)</f>
        <v>64.857922790834778</v>
      </c>
      <c r="D13" s="111">
        <f>(D10*1000)/(Daten2023!AB23+Daten2023!AC23)</f>
        <v>78.900069881697974</v>
      </c>
      <c r="E13" s="111">
        <f>(E10*1000)/(Daten2023!AB24+Daten2023!AC24)</f>
        <v>55.271788042264156</v>
      </c>
      <c r="F13" s="111">
        <f>(F10*1000)/(Daten2023!AB25+Daten2023!AC25)</f>
        <v>63.137911178488579</v>
      </c>
    </row>
    <row r="14" spans="1:6" ht="19.95" customHeight="1" x14ac:dyDescent="0.3">
      <c r="A14" s="105" t="s">
        <v>303</v>
      </c>
      <c r="B14" s="111">
        <f>B10*1000/Daten2023!AF12</f>
        <v>5642.2933716233765</v>
      </c>
      <c r="C14" s="111">
        <f>C10*1000/Daten2023!AF20</f>
        <v>6221.5254214395882</v>
      </c>
      <c r="D14" s="111">
        <f>D10*1000/Daten2023!AF23</f>
        <v>6478.8228811428562</v>
      </c>
      <c r="E14" s="111">
        <f>E10*1000/Daten2023!AF24</f>
        <v>7323.511915600001</v>
      </c>
      <c r="F14" s="111">
        <f>F10*1000/Daten2023!AF25</f>
        <v>6187.1783802774808</v>
      </c>
    </row>
    <row r="15" spans="1:6" s="78" customFormat="1" ht="22.5" customHeight="1" x14ac:dyDescent="0.3">
      <c r="A15" s="105" t="s">
        <v>297</v>
      </c>
      <c r="B15" s="113">
        <f>B10/Daten2023!Y12</f>
        <v>9.6556637318590946E-2</v>
      </c>
      <c r="C15" s="113">
        <f>C10/Daten2023!Y20</f>
        <v>9.9661233278702022E-2</v>
      </c>
      <c r="D15" s="113">
        <f>D10/Daten2023!Y23</f>
        <v>9.5990484226211273E-2</v>
      </c>
      <c r="E15" s="113">
        <f>E10/Daten2023!Y24</f>
        <v>6.2111033123568832E-2</v>
      </c>
      <c r="F15" s="113">
        <f>F10/Daten2023!Y25</f>
        <v>9.1265483831012198E-2</v>
      </c>
    </row>
    <row r="16" spans="1:6" ht="19.95" customHeight="1" x14ac:dyDescent="0.3">
      <c r="A16" s="105" t="s">
        <v>287</v>
      </c>
      <c r="B16" s="112">
        <f>Daten2023!F12/Daten2023!Y12</f>
        <v>21.891821313479277</v>
      </c>
      <c r="C16" s="112">
        <f>Daten2023!F20/Daten2023!Y12</f>
        <v>25.058895432825871</v>
      </c>
      <c r="D16" s="112">
        <f>Daten2023!F23/Daten2023!Y23</f>
        <v>21.750895841138213</v>
      </c>
      <c r="E16" s="112">
        <f>Daten2023!F24/Daten2023!Y24</f>
        <v>11.627088457297939</v>
      </c>
      <c r="F16" s="112">
        <f>Daten2023!F25/Daten2023!Y25</f>
        <v>18.69649706826997</v>
      </c>
    </row>
    <row r="17" spans="1:6" ht="19.95" customHeight="1" x14ac:dyDescent="0.3">
      <c r="A17" s="105" t="s">
        <v>298</v>
      </c>
      <c r="B17" s="112">
        <f>Daten2023!W12/Daten2023!Y12</f>
        <v>3.1752972552505834</v>
      </c>
      <c r="C17" s="112">
        <f>Daten2023!W20/Daten2023!Y20</f>
        <v>2.1649645857354636</v>
      </c>
      <c r="D17" s="112">
        <f>Daten2023!W23/Daten2023!Z23</f>
        <v>5.0048575437972662</v>
      </c>
      <c r="E17" s="112">
        <f>Daten2023!W24/Daten2023!Y24</f>
        <v>1.7038419133237215</v>
      </c>
      <c r="F17" s="112">
        <f>Daten2023!W25/Daten2023!Y25</f>
        <v>2.2297079667555697</v>
      </c>
    </row>
    <row r="18" spans="1:6" ht="19.95" customHeight="1" x14ac:dyDescent="0.3">
      <c r="A18" s="105" t="s">
        <v>299</v>
      </c>
      <c r="B18" s="112">
        <f>Daten2023!X12/Daten2023!Y12</f>
        <v>0.56839648849872204</v>
      </c>
      <c r="C18" s="112">
        <f>Daten2023!X20/Daten2023!Y20</f>
        <v>0.50745346730357432</v>
      </c>
      <c r="D18" s="112">
        <f>Daten2023!X23/Daten2023!Y23</f>
        <v>1.0267514144024588</v>
      </c>
      <c r="E18" s="112">
        <f>Daten2023!X24/Daten2023!Y24</f>
        <v>2.0955813756254771</v>
      </c>
      <c r="F18" s="112">
        <f>Daten2023!X25/Daten2023!Y25</f>
        <v>0.89675707177740327</v>
      </c>
    </row>
    <row r="19" spans="1:6" ht="19.95" customHeight="1" x14ac:dyDescent="0.3">
      <c r="A19" s="105" t="s">
        <v>286</v>
      </c>
      <c r="B19" s="113">
        <f>Daten2023!Z12/Daten2023!Y12</f>
        <v>0.24871652405822867</v>
      </c>
      <c r="C19" s="113">
        <f>Daten2023!Z20/Daten2023!Y20</f>
        <v>0.35224015812880904</v>
      </c>
      <c r="D19" s="113">
        <f>Daten2023!Z23/Daten2023!Y23</f>
        <v>0.25</v>
      </c>
      <c r="E19" s="113">
        <f>Daten2023!Z24/Daten2023!Y24</f>
        <v>0.20642863200746331</v>
      </c>
      <c r="F19" s="113">
        <f>Daten2023!Z25/Daten2023!Y25</f>
        <v>0.28063416234508171</v>
      </c>
    </row>
    <row r="20" spans="1:6" ht="19.95" customHeight="1" x14ac:dyDescent="0.3">
      <c r="A20" s="105" t="s">
        <v>288</v>
      </c>
      <c r="B20" s="113">
        <f>Daten2023!AG12/Daten2023!AF12</f>
        <v>0.34740259740259738</v>
      </c>
      <c r="C20" s="113">
        <f>Daten2023!AG20/Daten2023!AF20</f>
        <v>0.38303341902313626</v>
      </c>
      <c r="D20" s="113">
        <f>Daten2023!AG23/Daten2023!AF23</f>
        <v>0.32857142857142857</v>
      </c>
      <c r="E20" s="113">
        <f>Daten2023!AG24/Daten2023!AF24</f>
        <v>0.38</v>
      </c>
      <c r="F20" s="113">
        <f>Daten2023!AG25/Daten2023!AF25</f>
        <v>0.36286019210245463</v>
      </c>
    </row>
    <row r="21" spans="1:6" ht="19.95" customHeight="1" x14ac:dyDescent="0.3">
      <c r="A21" s="105" t="s">
        <v>289</v>
      </c>
      <c r="B21" s="113">
        <f>Daten2023!AH12/Daten2023!AF12</f>
        <v>0.43181818181818182</v>
      </c>
      <c r="C21" s="113">
        <f>Daten2023!AH20/Daten2023!AF20</f>
        <v>0.44987146529562982</v>
      </c>
      <c r="D21" s="113">
        <f>Daten2023!AH23/Daten2023!AF23</f>
        <v>0.5714285714285714</v>
      </c>
      <c r="E21" s="113">
        <f>Daten2023!AH24/Daten2023!AF24</f>
        <v>0.57999999999999996</v>
      </c>
      <c r="F21" s="113">
        <f>Daten2023!AH25/Daten2023!AF25</f>
        <v>0.47598719316969051</v>
      </c>
    </row>
    <row r="22" spans="1:6" ht="19.95" customHeight="1" x14ac:dyDescent="0.3">
      <c r="A22" s="78"/>
      <c r="B22" s="103"/>
      <c r="C22" s="103"/>
      <c r="D22" s="103"/>
      <c r="E22" s="103"/>
      <c r="F22" s="103"/>
    </row>
    <row r="23" spans="1:6" ht="19.95" customHeight="1" x14ac:dyDescent="0.3">
      <c r="A23" s="78"/>
    </row>
    <row r="24" spans="1:6" ht="19.95" customHeight="1" x14ac:dyDescent="0.3">
      <c r="A24" s="78"/>
    </row>
    <row r="25" spans="1:6" ht="19.95" customHeight="1" x14ac:dyDescent="0.3">
      <c r="A25" s="78"/>
    </row>
    <row r="26" spans="1:6" ht="19.95" customHeight="1" x14ac:dyDescent="0.3">
      <c r="A26" s="78"/>
    </row>
    <row r="27" spans="1:6" ht="19.95" customHeight="1" x14ac:dyDescent="0.3">
      <c r="A27" s="78"/>
    </row>
    <row r="28" spans="1:6" ht="19.95" customHeight="1" x14ac:dyDescent="0.3">
      <c r="A28" s="78"/>
    </row>
    <row r="29" spans="1:6" ht="19.95" customHeight="1" x14ac:dyDescent="0.3">
      <c r="A29" s="7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Emissionsfaktoren</vt:lpstr>
      <vt:lpstr>ZDF-Topserv</vt:lpstr>
      <vt:lpstr>Daten2023</vt:lpstr>
      <vt:lpstr>KPI's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WENCKE Axel Mühlhausen</dc:creator>
  <cp:lastModifiedBy>WENCKE Axel Mühlhausen</cp:lastModifiedBy>
  <cp:lastPrinted>2024-03-19T09:12:09Z</cp:lastPrinted>
  <dcterms:created xsi:type="dcterms:W3CDTF">2024-03-07T13:34:25Z</dcterms:created>
  <dcterms:modified xsi:type="dcterms:W3CDTF">2024-09-23T06:54:00Z</dcterms:modified>
</cp:coreProperties>
</file>